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Z:\آقای اتحادیه\Simulator\Gen 6\"/>
    </mc:Choice>
  </mc:AlternateContent>
  <workbookProtection workbookPassword="C071" lockStructure="1"/>
  <bookViews>
    <workbookView minimized="1" xWindow="-15" yWindow="120" windowWidth="10320" windowHeight="7950" tabRatio="530"/>
  </bookViews>
  <sheets>
    <sheet name="Simulator" sheetId="1" r:id="rId1"/>
    <sheet name="Calculation" sheetId="348" state="hidden" r:id="rId2"/>
    <sheet name="Tcスペック算出" sheetId="350" state="hidden" r:id="rId3"/>
  </sheets>
  <definedNames>
    <definedName name="_xlnm.Print_Area" localSheetId="1">Calculation!$A$1:$AF$186</definedName>
    <definedName name="_xlnm.Print_Area" localSheetId="0">Simulator!$A$1:$O$26</definedName>
  </definedNames>
  <calcPr calcId="162913"/>
</workbook>
</file>

<file path=xl/calcChain.xml><?xml version="1.0" encoding="utf-8"?>
<calcChain xmlns="http://schemas.openxmlformats.org/spreadsheetml/2006/main">
  <c r="D10" i="350" l="1"/>
  <c r="G10" i="350" s="1"/>
  <c r="D11" i="350"/>
  <c r="G11" i="350" s="1"/>
  <c r="D12" i="350"/>
  <c r="G12" i="350" s="1"/>
  <c r="D13" i="350"/>
  <c r="G13" i="350" s="1"/>
  <c r="D14" i="350"/>
  <c r="G14" i="350" s="1"/>
  <c r="D15" i="350"/>
  <c r="G15" i="350" s="1"/>
  <c r="H15" i="350" s="1"/>
  <c r="I15" i="350" s="1"/>
  <c r="K77" i="348" s="1"/>
  <c r="D16" i="350"/>
  <c r="G16" i="350" s="1"/>
  <c r="D17" i="350"/>
  <c r="G17" i="350" s="1"/>
  <c r="D18" i="350"/>
  <c r="G18" i="350" s="1"/>
  <c r="D19" i="350"/>
  <c r="G19" i="350" s="1"/>
  <c r="D20" i="350"/>
  <c r="G20" i="350" s="1"/>
  <c r="D21" i="350"/>
  <c r="G21" i="350" s="1"/>
  <c r="D9" i="350"/>
  <c r="D8" i="350"/>
  <c r="H13" i="350" l="1"/>
  <c r="I13" i="350" s="1"/>
  <c r="K75" i="348" s="1"/>
  <c r="J13" i="350"/>
  <c r="K58" i="348" s="1"/>
  <c r="J20" i="350"/>
  <c r="K65" i="348" s="1"/>
  <c r="H20" i="350"/>
  <c r="I20" i="350" s="1"/>
  <c r="K82" i="348" s="1"/>
  <c r="H12" i="350"/>
  <c r="I12" i="350" s="1"/>
  <c r="K74" i="348" s="1"/>
  <c r="J12" i="350"/>
  <c r="K57" i="348" s="1"/>
  <c r="G8" i="350"/>
  <c r="J8" i="350" s="1"/>
  <c r="K53" i="348" s="1"/>
  <c r="H19" i="350"/>
  <c r="I19" i="350" s="1"/>
  <c r="K81" i="348" s="1"/>
  <c r="J19" i="350"/>
  <c r="K64" i="348" s="1"/>
  <c r="J15" i="350"/>
  <c r="K60" i="348" s="1"/>
  <c r="H11" i="350"/>
  <c r="I11" i="350" s="1"/>
  <c r="K73" i="348" s="1"/>
  <c r="J11" i="350"/>
  <c r="K56" i="348" s="1"/>
  <c r="H21" i="350"/>
  <c r="I21" i="350" s="1"/>
  <c r="K83" i="348" s="1"/>
  <c r="J21" i="350"/>
  <c r="K66" i="348" s="1"/>
  <c r="H17" i="350"/>
  <c r="I17" i="350" s="1"/>
  <c r="K79" i="348" s="1"/>
  <c r="J17" i="350"/>
  <c r="K62" i="348" s="1"/>
  <c r="H16" i="350"/>
  <c r="I16" i="350" s="1"/>
  <c r="K78" i="348" s="1"/>
  <c r="J16" i="350"/>
  <c r="K61" i="348" s="1"/>
  <c r="G9" i="350"/>
  <c r="J9" i="350" s="1"/>
  <c r="K54" i="348" s="1"/>
  <c r="H18" i="350"/>
  <c r="I18" i="350" s="1"/>
  <c r="K80" i="348" s="1"/>
  <c r="J18" i="350"/>
  <c r="K63" i="348" s="1"/>
  <c r="H14" i="350"/>
  <c r="I14" i="350" s="1"/>
  <c r="K76" i="348" s="1"/>
  <c r="J14" i="350"/>
  <c r="K59" i="348" s="1"/>
  <c r="H10" i="350"/>
  <c r="I10" i="350" s="1"/>
  <c r="K72" i="348" s="1"/>
  <c r="J10" i="350"/>
  <c r="K55" i="348" s="1"/>
  <c r="D2" i="348"/>
  <c r="H9" i="350" l="1"/>
  <c r="I9" i="350" s="1"/>
  <c r="K71" i="348" s="1"/>
  <c r="H8" i="350"/>
  <c r="I8" i="350" s="1"/>
  <c r="K70" i="348" s="1"/>
  <c r="V129" i="348"/>
  <c r="U129" i="348"/>
  <c r="P129" i="348"/>
  <c r="V83" i="348"/>
  <c r="V143" i="348" s="1"/>
  <c r="V78" i="348"/>
  <c r="V138" i="348" s="1"/>
  <c r="V76" i="348"/>
  <c r="V136" i="348" s="1"/>
  <c r="V69" i="348" l="1"/>
  <c r="V52" i="348" s="1"/>
  <c r="P69" i="348"/>
  <c r="P52" i="348" s="1"/>
  <c r="Q69" i="348"/>
  <c r="V77" i="348"/>
  <c r="V137" i="348" s="1"/>
  <c r="V79" i="348"/>
  <c r="V139" i="348" s="1"/>
  <c r="V80" i="348"/>
  <c r="V140" i="348" s="1"/>
  <c r="V81" i="348"/>
  <c r="V141" i="348" s="1"/>
  <c r="V82" i="348"/>
  <c r="V142" i="348" s="1"/>
  <c r="P76" i="348"/>
  <c r="P136" i="348" s="1"/>
  <c r="P77" i="348"/>
  <c r="P137" i="348" s="1"/>
  <c r="P78" i="348"/>
  <c r="P138" i="348" s="1"/>
  <c r="P79" i="348"/>
  <c r="P139" i="348" s="1"/>
  <c r="P80" i="348"/>
  <c r="P140" i="348" s="1"/>
  <c r="P81" i="348"/>
  <c r="P141" i="348" s="1"/>
  <c r="P82" i="348"/>
  <c r="P142" i="348" s="1"/>
  <c r="P83" i="348"/>
  <c r="P143" i="348" s="1"/>
  <c r="G2" i="348"/>
  <c r="B11" i="1" s="1"/>
  <c r="F2" i="348"/>
  <c r="F15" i="348" s="1"/>
  <c r="L181" i="348" l="1"/>
  <c r="V155" i="348"/>
  <c r="J155" i="348"/>
  <c r="J138" i="348"/>
  <c r="K138" i="348"/>
  <c r="I138" i="348"/>
  <c r="H138" i="348"/>
  <c r="G138" i="348" l="1"/>
  <c r="L121" i="348"/>
  <c r="L78" i="348"/>
  <c r="M78" i="348"/>
  <c r="M138" i="348" s="1"/>
  <c r="U69" i="348"/>
  <c r="J78" i="348"/>
  <c r="J95" i="348" s="1"/>
  <c r="P121" i="348" s="1"/>
  <c r="P181" i="348" s="1"/>
  <c r="AF78" i="348"/>
  <c r="AF138" i="348" s="1"/>
  <c r="AE78" i="348"/>
  <c r="AE138" i="348" s="1"/>
  <c r="AD78" i="348"/>
  <c r="AD138" i="348" s="1"/>
  <c r="AC78" i="348"/>
  <c r="AC138" i="348" s="1"/>
  <c r="AB78" i="348"/>
  <c r="AB138" i="348" s="1"/>
  <c r="AA78" i="348"/>
  <c r="AA138" i="348" s="1"/>
  <c r="Z78" i="348"/>
  <c r="Z138" i="348" s="1"/>
  <c r="Y78" i="348"/>
  <c r="Y138" i="348" s="1"/>
  <c r="X78" i="348"/>
  <c r="X138" i="348" s="1"/>
  <c r="W78" i="348"/>
  <c r="W138" i="348" s="1"/>
  <c r="U78" i="348"/>
  <c r="U138" i="348" s="1"/>
  <c r="T78" i="348"/>
  <c r="T138" i="348" s="1"/>
  <c r="S78" i="348"/>
  <c r="S138" i="348" s="1"/>
  <c r="R78" i="348"/>
  <c r="R138" i="348" s="1"/>
  <c r="Q78" i="348"/>
  <c r="Q138" i="348" s="1"/>
  <c r="O78" i="348"/>
  <c r="O138" i="348" s="1"/>
  <c r="N78" i="348"/>
  <c r="N138" i="348" s="1"/>
  <c r="G78" i="348"/>
  <c r="D69" i="348"/>
  <c r="B43" i="348"/>
  <c r="K95" i="348" l="1"/>
  <c r="H95" i="348" s="1"/>
  <c r="L138" i="348"/>
  <c r="K155" i="348" s="1"/>
  <c r="H155" i="348" s="1"/>
  <c r="L82" i="348"/>
  <c r="AF70" i="348" l="1"/>
  <c r="AF130" i="348" s="1"/>
  <c r="AE70" i="348"/>
  <c r="AE130" i="348" s="1"/>
  <c r="AD70" i="348"/>
  <c r="AD130" i="348" s="1"/>
  <c r="AC74" i="348"/>
  <c r="AC134" i="348" s="1"/>
  <c r="AB74" i="348"/>
  <c r="AB134" i="348" s="1"/>
  <c r="AA74" i="348"/>
  <c r="AA134" i="348" s="1"/>
  <c r="AC72" i="348"/>
  <c r="AC132" i="348" s="1"/>
  <c r="AB72" i="348"/>
  <c r="AB132" i="348" s="1"/>
  <c r="AA72" i="348"/>
  <c r="AA132" i="348" s="1"/>
  <c r="L70" i="348"/>
  <c r="M70" i="348"/>
  <c r="M130" i="348" s="1"/>
  <c r="N70" i="348"/>
  <c r="N130" i="348" s="1"/>
  <c r="O70" i="348"/>
  <c r="L130" i="348" l="1"/>
  <c r="H130" i="348"/>
  <c r="V154" i="348" l="1"/>
  <c r="V151" i="348"/>
  <c r="L71" i="348"/>
  <c r="AF80" i="348" l="1"/>
  <c r="AE80" i="348"/>
  <c r="AD80" i="348"/>
  <c r="AF79" i="348"/>
  <c r="AE79" i="348"/>
  <c r="AD79" i="348"/>
  <c r="AF76" i="348"/>
  <c r="AE76" i="348"/>
  <c r="AD76" i="348"/>
  <c r="AF75" i="348"/>
  <c r="AE75" i="348"/>
  <c r="AD75" i="348"/>
  <c r="AF74" i="348"/>
  <c r="AE74" i="348"/>
  <c r="AD74" i="348"/>
  <c r="AF73" i="348"/>
  <c r="AE73" i="348"/>
  <c r="AD73" i="348"/>
  <c r="AF72" i="348"/>
  <c r="AE72" i="348"/>
  <c r="AD72" i="348"/>
  <c r="AF71" i="348"/>
  <c r="AE71" i="348"/>
  <c r="AD71" i="348"/>
  <c r="AC79" i="348"/>
  <c r="AC139" i="348" s="1"/>
  <c r="AB79" i="348"/>
  <c r="AB139" i="348" s="1"/>
  <c r="AA79" i="348"/>
  <c r="AA139" i="348" s="1"/>
  <c r="AC76" i="348"/>
  <c r="AB76" i="348"/>
  <c r="AA76" i="348"/>
  <c r="AC75" i="348"/>
  <c r="AC135" i="348" s="1"/>
  <c r="AB75" i="348"/>
  <c r="AB135" i="348" s="1"/>
  <c r="AA75" i="348"/>
  <c r="AA135" i="348" s="1"/>
  <c r="Z75" i="348"/>
  <c r="Z83" i="348"/>
  <c r="Y83" i="348"/>
  <c r="X83" i="348"/>
  <c r="W83" i="348"/>
  <c r="Z82" i="348"/>
  <c r="Y82" i="348"/>
  <c r="X82" i="348"/>
  <c r="W82" i="348"/>
  <c r="Z81" i="348"/>
  <c r="Y81" i="348"/>
  <c r="X81" i="348"/>
  <c r="W81" i="348"/>
  <c r="Z80" i="348"/>
  <c r="Y80" i="348"/>
  <c r="X80" i="348"/>
  <c r="W80" i="348"/>
  <c r="Z79" i="348"/>
  <c r="Y79" i="348"/>
  <c r="X79" i="348"/>
  <c r="W79" i="348"/>
  <c r="Z77" i="348"/>
  <c r="Y77" i="348"/>
  <c r="X77" i="348"/>
  <c r="W77" i="348"/>
  <c r="Z76" i="348"/>
  <c r="Y76" i="348"/>
  <c r="X76" i="348"/>
  <c r="W76" i="348"/>
  <c r="Y75" i="348"/>
  <c r="X75" i="348"/>
  <c r="W75" i="348"/>
  <c r="Z74" i="348"/>
  <c r="Y74" i="348"/>
  <c r="X74" i="348"/>
  <c r="W74" i="348"/>
  <c r="Z73" i="348"/>
  <c r="Y73" i="348"/>
  <c r="X73" i="348"/>
  <c r="W73" i="348"/>
  <c r="Z72" i="348"/>
  <c r="Y72" i="348"/>
  <c r="X72" i="348"/>
  <c r="W72" i="348"/>
  <c r="Z71" i="348"/>
  <c r="Y71" i="348"/>
  <c r="X71" i="348"/>
  <c r="W71" i="348"/>
  <c r="Z70" i="348"/>
  <c r="Y70" i="348"/>
  <c r="X70" i="348"/>
  <c r="W70" i="348"/>
  <c r="M81" i="348"/>
  <c r="M80" i="348"/>
  <c r="M79" i="348"/>
  <c r="M77" i="348"/>
  <c r="L79" i="348"/>
  <c r="L77" i="348"/>
  <c r="L76" i="348"/>
  <c r="L75" i="348"/>
  <c r="L74" i="348"/>
  <c r="L73" i="348"/>
  <c r="L72" i="348"/>
  <c r="O83" i="348"/>
  <c r="N83" i="348"/>
  <c r="M83" i="348"/>
  <c r="L83" i="348"/>
  <c r="K100" i="348" s="1"/>
  <c r="O82" i="348"/>
  <c r="N82" i="348"/>
  <c r="M82" i="348"/>
  <c r="O81" i="348"/>
  <c r="N81" i="348"/>
  <c r="L81" i="348"/>
  <c r="O80" i="348"/>
  <c r="N80" i="348"/>
  <c r="L80" i="348"/>
  <c r="O79" i="348"/>
  <c r="N79" i="348"/>
  <c r="O77" i="348"/>
  <c r="N77" i="348"/>
  <c r="O76" i="348"/>
  <c r="N76" i="348"/>
  <c r="M76" i="348"/>
  <c r="O75" i="348"/>
  <c r="N75" i="348"/>
  <c r="M75" i="348"/>
  <c r="O74" i="348"/>
  <c r="N74" i="348"/>
  <c r="M74" i="348"/>
  <c r="O73" i="348"/>
  <c r="N73" i="348"/>
  <c r="M73" i="348"/>
  <c r="O72" i="348"/>
  <c r="N72" i="348"/>
  <c r="M72" i="348"/>
  <c r="O71" i="348"/>
  <c r="N71" i="348"/>
  <c r="M71" i="348"/>
  <c r="Q70" i="348"/>
  <c r="U83" i="348"/>
  <c r="T83" i="348"/>
  <c r="S83" i="348"/>
  <c r="R83" i="348"/>
  <c r="Q83" i="348"/>
  <c r="U82" i="348"/>
  <c r="K99" i="348" s="1"/>
  <c r="T82" i="348"/>
  <c r="S82" i="348"/>
  <c r="R82" i="348"/>
  <c r="Q82" i="348"/>
  <c r="U81" i="348"/>
  <c r="T81" i="348"/>
  <c r="S81" i="348"/>
  <c r="R81" i="348"/>
  <c r="Q81" i="348"/>
  <c r="U80" i="348"/>
  <c r="T80" i="348"/>
  <c r="S80" i="348"/>
  <c r="R80" i="348"/>
  <c r="Q80" i="348"/>
  <c r="U79" i="348"/>
  <c r="T79" i="348"/>
  <c r="S79" i="348"/>
  <c r="R79" i="348"/>
  <c r="Q79" i="348"/>
  <c r="U77" i="348"/>
  <c r="T77" i="348"/>
  <c r="S77" i="348"/>
  <c r="R77" i="348"/>
  <c r="Q77" i="348"/>
  <c r="U76" i="348"/>
  <c r="T76" i="348"/>
  <c r="S76" i="348"/>
  <c r="R76" i="348"/>
  <c r="Q76" i="348"/>
  <c r="U75" i="348"/>
  <c r="T75" i="348"/>
  <c r="S75" i="348"/>
  <c r="R75" i="348"/>
  <c r="Q75" i="348"/>
  <c r="U74" i="348"/>
  <c r="T74" i="348"/>
  <c r="S74" i="348"/>
  <c r="R74" i="348"/>
  <c r="Q74" i="348"/>
  <c r="U73" i="348"/>
  <c r="T73" i="348"/>
  <c r="S73" i="348"/>
  <c r="R73" i="348"/>
  <c r="Q73" i="348"/>
  <c r="U72" i="348"/>
  <c r="T72" i="348"/>
  <c r="S72" i="348"/>
  <c r="R72" i="348"/>
  <c r="Q72" i="348"/>
  <c r="U71" i="348"/>
  <c r="T71" i="348"/>
  <c r="S71" i="348"/>
  <c r="R71" i="348"/>
  <c r="Q71" i="348"/>
  <c r="U70" i="348"/>
  <c r="K87" i="348" s="1"/>
  <c r="T70" i="348"/>
  <c r="S70" i="348"/>
  <c r="R70" i="348"/>
  <c r="K98" i="348" l="1"/>
  <c r="K96" i="348"/>
  <c r="K97" i="348"/>
  <c r="K94" i="348"/>
  <c r="K92" i="348"/>
  <c r="K90" i="348"/>
  <c r="K88" i="348"/>
  <c r="AF129" i="348"/>
  <c r="AE129" i="348"/>
  <c r="AD129" i="348"/>
  <c r="AC129" i="348"/>
  <c r="AB129" i="348"/>
  <c r="AA129" i="348"/>
  <c r="Z129" i="348"/>
  <c r="Y129" i="348"/>
  <c r="X129" i="348"/>
  <c r="W129" i="348"/>
  <c r="T129" i="348"/>
  <c r="S129" i="348"/>
  <c r="R129" i="348"/>
  <c r="M129" i="348"/>
  <c r="L129" i="348"/>
  <c r="R130" i="348"/>
  <c r="S130" i="348"/>
  <c r="T130" i="348"/>
  <c r="U130" i="348"/>
  <c r="X130" i="348"/>
  <c r="Z130" i="348"/>
  <c r="R131" i="348"/>
  <c r="S131" i="348"/>
  <c r="T131" i="348"/>
  <c r="U131" i="348"/>
  <c r="AD131" i="348"/>
  <c r="AE131" i="348"/>
  <c r="R132" i="348"/>
  <c r="S132" i="348"/>
  <c r="T132" i="348"/>
  <c r="U132" i="348"/>
  <c r="W132" i="348"/>
  <c r="Y132" i="348"/>
  <c r="AF132" i="348"/>
  <c r="R133" i="348"/>
  <c r="S133" i="348"/>
  <c r="T133" i="348"/>
  <c r="U133" i="348"/>
  <c r="Y133" i="348"/>
  <c r="AD133" i="348"/>
  <c r="AF133" i="348"/>
  <c r="R134" i="348"/>
  <c r="S134" i="348"/>
  <c r="T134" i="348"/>
  <c r="U134" i="348"/>
  <c r="X134" i="348"/>
  <c r="AE134" i="348"/>
  <c r="R135" i="348"/>
  <c r="S135" i="348"/>
  <c r="T135" i="348"/>
  <c r="U135" i="348"/>
  <c r="W135" i="348"/>
  <c r="Y135" i="348"/>
  <c r="AF135" i="348"/>
  <c r="R136" i="348"/>
  <c r="S136" i="348"/>
  <c r="T136" i="348"/>
  <c r="U136" i="348"/>
  <c r="W136" i="348"/>
  <c r="Y136" i="348"/>
  <c r="AA136" i="348"/>
  <c r="AB136" i="348"/>
  <c r="AC136" i="348"/>
  <c r="AE136" i="348"/>
  <c r="R137" i="348"/>
  <c r="S137" i="348"/>
  <c r="T137" i="348"/>
  <c r="U137" i="348"/>
  <c r="W137" i="348"/>
  <c r="Y137" i="348"/>
  <c r="R139" i="348"/>
  <c r="S139" i="348"/>
  <c r="T139" i="348"/>
  <c r="U139" i="348"/>
  <c r="W139" i="348"/>
  <c r="Y139" i="348"/>
  <c r="AD139" i="348"/>
  <c r="R140" i="348"/>
  <c r="S140" i="348"/>
  <c r="T140" i="348"/>
  <c r="U140" i="348"/>
  <c r="X140" i="348"/>
  <c r="AE140" i="348"/>
  <c r="R141" i="348"/>
  <c r="S141" i="348"/>
  <c r="T141" i="348"/>
  <c r="U141" i="348"/>
  <c r="W141" i="348"/>
  <c r="Y141" i="348"/>
  <c r="R142" i="348"/>
  <c r="S142" i="348"/>
  <c r="T142" i="348"/>
  <c r="U142" i="348"/>
  <c r="W142" i="348"/>
  <c r="Y142" i="348"/>
  <c r="R143" i="348"/>
  <c r="S143" i="348"/>
  <c r="T143" i="348"/>
  <c r="U143" i="348"/>
  <c r="W143" i="348"/>
  <c r="Y143" i="348"/>
  <c r="J147" i="348"/>
  <c r="J148" i="348"/>
  <c r="AF140" i="348"/>
  <c r="AD140" i="348"/>
  <c r="AF139" i="348"/>
  <c r="AE139" i="348"/>
  <c r="AF136" i="348"/>
  <c r="AD136" i="348"/>
  <c r="AE135" i="348"/>
  <c r="AD135" i="348"/>
  <c r="AF134" i="348"/>
  <c r="AD134" i="348"/>
  <c r="AE133" i="348"/>
  <c r="AE132" i="348"/>
  <c r="AD132" i="348"/>
  <c r="AF131" i="348"/>
  <c r="Z143" i="348"/>
  <c r="X143" i="348"/>
  <c r="Z142" i="348"/>
  <c r="X142" i="348"/>
  <c r="Z141" i="348"/>
  <c r="X141" i="348"/>
  <c r="Z140" i="348"/>
  <c r="Y140" i="348"/>
  <c r="W140" i="348"/>
  <c r="Z139" i="348"/>
  <c r="X139" i="348"/>
  <c r="Z137" i="348"/>
  <c r="X137" i="348"/>
  <c r="Z136" i="348"/>
  <c r="X136" i="348"/>
  <c r="Z135" i="348"/>
  <c r="X135" i="348"/>
  <c r="Z134" i="348"/>
  <c r="Y134" i="348"/>
  <c r="W134" i="348"/>
  <c r="Z133" i="348"/>
  <c r="X133" i="348"/>
  <c r="W133" i="348"/>
  <c r="Z132" i="348"/>
  <c r="X132" i="348"/>
  <c r="Z131" i="348"/>
  <c r="Y131" i="348"/>
  <c r="X131" i="348"/>
  <c r="W131" i="348"/>
  <c r="Y130" i="348"/>
  <c r="W130" i="348"/>
  <c r="K93" i="348"/>
  <c r="K91" i="348"/>
  <c r="K89" i="348"/>
  <c r="AF69" i="348" l="1"/>
  <c r="AF52" i="348" s="1"/>
  <c r="AE69" i="348"/>
  <c r="AE52" i="348" s="1"/>
  <c r="AD69" i="348"/>
  <c r="AD52" i="348" s="1"/>
  <c r="AC69" i="348"/>
  <c r="AC52" i="348" s="1"/>
  <c r="AB69" i="348"/>
  <c r="AB52" i="348" s="1"/>
  <c r="AA69" i="348"/>
  <c r="AA52" i="348" s="1"/>
  <c r="Z69" i="348"/>
  <c r="Z52" i="348" s="1"/>
  <c r="Y69" i="348"/>
  <c r="Y52" i="348" s="1"/>
  <c r="X69" i="348"/>
  <c r="X52" i="348" s="1"/>
  <c r="W69" i="348"/>
  <c r="W52" i="348" s="1"/>
  <c r="U52" i="348"/>
  <c r="T69" i="348"/>
  <c r="T52" i="348" s="1"/>
  <c r="S69" i="348"/>
  <c r="S52" i="348" s="1"/>
  <c r="R69" i="348"/>
  <c r="R52" i="348" s="1"/>
  <c r="G10" i="348"/>
  <c r="F10" i="348"/>
  <c r="D10" i="348"/>
  <c r="C2" i="348"/>
  <c r="C10" i="348" s="1"/>
  <c r="B19" i="1" l="1"/>
  <c r="D14" i="348"/>
  <c r="F4" i="348"/>
  <c r="G15" i="348"/>
  <c r="C15" i="348"/>
  <c r="C13" i="348"/>
  <c r="C4" i="348"/>
  <c r="C7" i="348"/>
  <c r="C8" i="348"/>
  <c r="C3" i="348"/>
  <c r="C12" i="348"/>
  <c r="G12" i="348"/>
  <c r="D7" i="348"/>
  <c r="G3" i="348"/>
  <c r="G7" i="348"/>
  <c r="G13" i="348"/>
  <c r="C5" i="348"/>
  <c r="C9" i="348"/>
  <c r="C14" i="348"/>
  <c r="D4" i="348"/>
  <c r="D8" i="348"/>
  <c r="D13" i="348"/>
  <c r="F3" i="348"/>
  <c r="G4" i="348"/>
  <c r="B13" i="1" s="1"/>
  <c r="G8" i="348"/>
  <c r="G14" i="348"/>
  <c r="B23" i="1" s="1"/>
  <c r="D6" i="348"/>
  <c r="D11" i="348"/>
  <c r="D15" i="348"/>
  <c r="G6" i="348"/>
  <c r="D3" i="348"/>
  <c r="D12" i="348"/>
  <c r="C6" i="348"/>
  <c r="C11" i="348"/>
  <c r="D5" i="348"/>
  <c r="D9" i="348"/>
  <c r="G5" i="348"/>
  <c r="G11" i="348"/>
  <c r="B17" i="1" l="1"/>
  <c r="B14" i="1"/>
  <c r="B15" i="1"/>
  <c r="B20" i="1"/>
  <c r="B12" i="1"/>
  <c r="B22" i="1"/>
  <c r="B21" i="1"/>
  <c r="B24" i="1"/>
  <c r="B16" i="1"/>
  <c r="E69" i="348"/>
  <c r="E70" i="348"/>
  <c r="E71" i="348"/>
  <c r="E72" i="348"/>
  <c r="L126" i="348"/>
  <c r="L125" i="348"/>
  <c r="L124" i="348"/>
  <c r="L123" i="348"/>
  <c r="L122" i="348"/>
  <c r="L120" i="348"/>
  <c r="L119" i="348"/>
  <c r="L118" i="348"/>
  <c r="L117" i="348"/>
  <c r="L116" i="348"/>
  <c r="L115" i="348"/>
  <c r="L114" i="348"/>
  <c r="L113" i="348"/>
  <c r="E133" i="348"/>
  <c r="L155" i="348" s="1"/>
  <c r="E132" i="348"/>
  <c r="B48" i="348" l="1"/>
  <c r="L186" i="348"/>
  <c r="L185" i="348"/>
  <c r="L184" i="348"/>
  <c r="L183" i="348"/>
  <c r="L182" i="348"/>
  <c r="L180" i="348"/>
  <c r="L179" i="348"/>
  <c r="L178" i="348"/>
  <c r="L177" i="348"/>
  <c r="L176" i="348"/>
  <c r="L175" i="348"/>
  <c r="L174" i="348"/>
  <c r="L173" i="348"/>
  <c r="V160" i="348"/>
  <c r="J160" i="348"/>
  <c r="V147" i="348"/>
  <c r="J159" i="348"/>
  <c r="J158" i="348"/>
  <c r="J157" i="348"/>
  <c r="J156" i="348"/>
  <c r="J154" i="348"/>
  <c r="J153" i="348"/>
  <c r="J152" i="348"/>
  <c r="J151" i="348"/>
  <c r="J150" i="348"/>
  <c r="J149" i="348"/>
  <c r="Q130" i="348"/>
  <c r="K147" i="348" s="1"/>
  <c r="O130" i="348"/>
  <c r="K130" i="348"/>
  <c r="Q143" i="348"/>
  <c r="O143" i="348"/>
  <c r="N143" i="348"/>
  <c r="M143" i="348"/>
  <c r="L143" i="348"/>
  <c r="K160" i="348" s="1"/>
  <c r="K143" i="348"/>
  <c r="J143" i="348"/>
  <c r="I143" i="348"/>
  <c r="H143" i="348"/>
  <c r="J142" i="348"/>
  <c r="J141" i="348"/>
  <c r="J140" i="348"/>
  <c r="J139" i="348"/>
  <c r="J137" i="348"/>
  <c r="J136" i="348"/>
  <c r="J135" i="348"/>
  <c r="J134" i="348"/>
  <c r="J133" i="348"/>
  <c r="J132" i="348"/>
  <c r="J131" i="348"/>
  <c r="J130" i="348"/>
  <c r="G83" i="348"/>
  <c r="J83" i="348"/>
  <c r="J100" i="348" s="1"/>
  <c r="P126" i="348" s="1"/>
  <c r="P186" i="348" s="1"/>
  <c r="I130" i="348"/>
  <c r="J70" i="348"/>
  <c r="J87" i="348" s="1"/>
  <c r="P113" i="348" s="1"/>
  <c r="P173" i="348" s="1"/>
  <c r="G70" i="348"/>
  <c r="H87" i="348" s="1"/>
  <c r="Q129" i="348"/>
  <c r="K146" i="348" s="1"/>
  <c r="O129" i="348"/>
  <c r="N129" i="348"/>
  <c r="B35" i="348"/>
  <c r="L147" i="348" l="1"/>
  <c r="G130" i="348"/>
  <c r="H147" i="348" s="1"/>
  <c r="G143" i="348"/>
  <c r="F14" i="348"/>
  <c r="F12" i="348"/>
  <c r="F9" i="348"/>
  <c r="F7" i="348"/>
  <c r="F5" i="348"/>
  <c r="F13" i="348"/>
  <c r="F11" i="348"/>
  <c r="F8" i="348"/>
  <c r="F6" i="348"/>
  <c r="H100" i="348"/>
  <c r="G9" i="348"/>
  <c r="B18" i="1" s="1"/>
  <c r="H6" i="1" l="1"/>
  <c r="K9" i="1"/>
  <c r="I9" i="1"/>
  <c r="L33" i="348"/>
  <c r="M33" i="348"/>
  <c r="L34" i="348"/>
  <c r="M34" i="348"/>
  <c r="E33" i="348"/>
  <c r="F33" i="348"/>
  <c r="E34" i="348"/>
  <c r="F34" i="348"/>
  <c r="Q103" i="348" l="1"/>
  <c r="Q163" i="348"/>
  <c r="R185" i="348" l="1"/>
  <c r="R181" i="348"/>
  <c r="R125" i="348"/>
  <c r="R121" i="348"/>
  <c r="R173" i="348"/>
  <c r="R186" i="348"/>
  <c r="R114" i="348"/>
  <c r="R126" i="348"/>
  <c r="R113" i="348"/>
  <c r="H131" i="348" l="1"/>
  <c r="H132" i="348"/>
  <c r="H133" i="348"/>
  <c r="H134" i="348"/>
  <c r="H135" i="348"/>
  <c r="H136" i="348"/>
  <c r="H137" i="348"/>
  <c r="H139" i="348"/>
  <c r="H140" i="348"/>
  <c r="H141" i="348"/>
  <c r="H142" i="348"/>
  <c r="I132" i="348"/>
  <c r="I133" i="348"/>
  <c r="I134" i="348"/>
  <c r="I135" i="348"/>
  <c r="I136" i="348"/>
  <c r="I137" i="348"/>
  <c r="I139" i="348"/>
  <c r="I140" i="348"/>
  <c r="I141" i="348"/>
  <c r="I142" i="348"/>
  <c r="I131" i="348"/>
  <c r="O69" i="348"/>
  <c r="O52" i="348" s="1"/>
  <c r="N69" i="348"/>
  <c r="N52" i="348" s="1"/>
  <c r="M69" i="348"/>
  <c r="M52" i="348" s="1"/>
  <c r="L69" i="348"/>
  <c r="L52" i="348" l="1"/>
  <c r="K86" i="348"/>
  <c r="Q52" i="348"/>
  <c r="G131" i="348"/>
  <c r="G140" i="348"/>
  <c r="G141" i="348"/>
  <c r="G139" i="348"/>
  <c r="G136" i="348"/>
  <c r="G134" i="348"/>
  <c r="G132" i="348"/>
  <c r="G142" i="348"/>
  <c r="G137" i="348"/>
  <c r="G135" i="348"/>
  <c r="G133" i="348"/>
  <c r="J72" i="348"/>
  <c r="J89" i="348" s="1"/>
  <c r="P115" i="348" s="1"/>
  <c r="P175" i="348" s="1"/>
  <c r="J73" i="348"/>
  <c r="J90" i="348" s="1"/>
  <c r="P116" i="348" s="1"/>
  <c r="P176" i="348" s="1"/>
  <c r="J74" i="348"/>
  <c r="J91" i="348" s="1"/>
  <c r="P117" i="348" s="1"/>
  <c r="P177" i="348" s="1"/>
  <c r="J75" i="348"/>
  <c r="J92" i="348" s="1"/>
  <c r="P118" i="348" s="1"/>
  <c r="P178" i="348" s="1"/>
  <c r="J76" i="348"/>
  <c r="J93" i="348" s="1"/>
  <c r="P119" i="348" s="1"/>
  <c r="P179" i="348" s="1"/>
  <c r="J77" i="348"/>
  <c r="J94" i="348" s="1"/>
  <c r="P120" i="348" s="1"/>
  <c r="P180" i="348" s="1"/>
  <c r="J79" i="348"/>
  <c r="J96" i="348" s="1"/>
  <c r="P122" i="348" s="1"/>
  <c r="P182" i="348" s="1"/>
  <c r="J80" i="348"/>
  <c r="J97" i="348" s="1"/>
  <c r="P123" i="348" s="1"/>
  <c r="P183" i="348" s="1"/>
  <c r="J81" i="348"/>
  <c r="J98" i="348" s="1"/>
  <c r="P124" i="348" s="1"/>
  <c r="P184" i="348" s="1"/>
  <c r="J82" i="348"/>
  <c r="J99" i="348" s="1"/>
  <c r="P125" i="348" s="1"/>
  <c r="P185" i="348" s="1"/>
  <c r="J71" i="348"/>
  <c r="J88" i="348" s="1"/>
  <c r="P114" i="348" s="1"/>
  <c r="P174" i="348" s="1"/>
  <c r="G82" i="348"/>
  <c r="H99" i="348" s="1"/>
  <c r="G81" i="348"/>
  <c r="G80" i="348"/>
  <c r="G79" i="348"/>
  <c r="G77" i="348"/>
  <c r="G76" i="348"/>
  <c r="G75" i="348"/>
  <c r="G74" i="348"/>
  <c r="G73" i="348"/>
  <c r="G72" i="348"/>
  <c r="G71" i="348"/>
  <c r="B37" i="348" l="1"/>
  <c r="B38" i="348"/>
  <c r="B39" i="348"/>
  <c r="B40" i="348"/>
  <c r="B41" i="348"/>
  <c r="B42" i="348"/>
  <c r="B44" i="348"/>
  <c r="B45" i="348"/>
  <c r="B46" i="348"/>
  <c r="B47" i="348"/>
  <c r="B36" i="348"/>
  <c r="C33" i="348" l="1"/>
  <c r="D33" i="348"/>
  <c r="G33" i="348"/>
  <c r="H33" i="348"/>
  <c r="I33" i="348"/>
  <c r="I34" i="348" s="1"/>
  <c r="J33" i="348"/>
  <c r="K33" i="348"/>
  <c r="N33" i="348"/>
  <c r="O33" i="348"/>
  <c r="P33" i="348"/>
  <c r="P34" i="348" s="1"/>
  <c r="C34" i="348"/>
  <c r="D34" i="348"/>
  <c r="G34" i="348"/>
  <c r="H34" i="348"/>
  <c r="J34" i="348"/>
  <c r="K34" i="348"/>
  <c r="N34" i="348"/>
  <c r="O34" i="348"/>
  <c r="B69" i="348"/>
  <c r="C69" i="348"/>
  <c r="F69" i="348"/>
  <c r="B70" i="348"/>
  <c r="C70" i="348"/>
  <c r="D70" i="348"/>
  <c r="F70" i="348"/>
  <c r="B71" i="348"/>
  <c r="C71" i="348"/>
  <c r="D71" i="348"/>
  <c r="F71" i="348"/>
  <c r="B72" i="348"/>
  <c r="C72" i="348"/>
  <c r="E76" i="348"/>
  <c r="E78" i="348"/>
  <c r="H88" i="348"/>
  <c r="H89" i="348"/>
  <c r="H90" i="348"/>
  <c r="H91" i="348"/>
  <c r="H92" i="348"/>
  <c r="H93" i="348"/>
  <c r="H94" i="348"/>
  <c r="H96" i="348"/>
  <c r="H97" i="348"/>
  <c r="H98" i="348"/>
  <c r="Q106" i="348"/>
  <c r="S106" i="348"/>
  <c r="Q109" i="348"/>
  <c r="S109" i="348"/>
  <c r="R116" i="348"/>
  <c r="R118" i="348"/>
  <c r="R120" i="348"/>
  <c r="R123" i="348"/>
  <c r="B129" i="348"/>
  <c r="C129" i="348"/>
  <c r="D129" i="348"/>
  <c r="E129" i="348"/>
  <c r="F129" i="348"/>
  <c r="B130" i="348"/>
  <c r="C130" i="348"/>
  <c r="D130" i="348"/>
  <c r="E130" i="348"/>
  <c r="F130" i="348"/>
  <c r="K131" i="348"/>
  <c r="L131" i="348"/>
  <c r="M131" i="348"/>
  <c r="N131" i="348"/>
  <c r="O131" i="348"/>
  <c r="Q131" i="348"/>
  <c r="B131" i="348"/>
  <c r="C131" i="348"/>
  <c r="D131" i="348"/>
  <c r="E131" i="348"/>
  <c r="F131" i="348"/>
  <c r="K132" i="348"/>
  <c r="L132" i="348"/>
  <c r="M132" i="348"/>
  <c r="N132" i="348"/>
  <c r="O132" i="348"/>
  <c r="Q132" i="348"/>
  <c r="B132" i="348"/>
  <c r="C132" i="348"/>
  <c r="K133" i="348"/>
  <c r="L133" i="348"/>
  <c r="M133" i="348"/>
  <c r="N133" i="348"/>
  <c r="O133" i="348"/>
  <c r="Q133" i="348"/>
  <c r="L160" i="348"/>
  <c r="K134" i="348"/>
  <c r="L134" i="348"/>
  <c r="M134" i="348"/>
  <c r="N134" i="348"/>
  <c r="O134" i="348"/>
  <c r="Q134" i="348"/>
  <c r="K135" i="348"/>
  <c r="L135" i="348"/>
  <c r="M135" i="348"/>
  <c r="N135" i="348"/>
  <c r="O135" i="348"/>
  <c r="Q135" i="348"/>
  <c r="E135" i="348"/>
  <c r="K136" i="348"/>
  <c r="L136" i="348"/>
  <c r="M136" i="348"/>
  <c r="N136" i="348"/>
  <c r="O136" i="348"/>
  <c r="Q136" i="348"/>
  <c r="K137" i="348"/>
  <c r="L137" i="348"/>
  <c r="M137" i="348"/>
  <c r="N137" i="348"/>
  <c r="O137" i="348"/>
  <c r="Q137" i="348"/>
  <c r="K139" i="348"/>
  <c r="L139" i="348"/>
  <c r="K156" i="348" s="1"/>
  <c r="M139" i="348"/>
  <c r="N139" i="348"/>
  <c r="O139" i="348"/>
  <c r="Q139" i="348"/>
  <c r="K140" i="348"/>
  <c r="L140" i="348"/>
  <c r="K157" i="348" s="1"/>
  <c r="M140" i="348"/>
  <c r="N140" i="348"/>
  <c r="O140" i="348"/>
  <c r="Q140" i="348"/>
  <c r="K141" i="348"/>
  <c r="L141" i="348"/>
  <c r="K158" i="348" s="1"/>
  <c r="M141" i="348"/>
  <c r="N141" i="348"/>
  <c r="O141" i="348"/>
  <c r="Q141" i="348"/>
  <c r="K142" i="348"/>
  <c r="L142" i="348"/>
  <c r="K159" i="348" s="1"/>
  <c r="M142" i="348"/>
  <c r="N142" i="348"/>
  <c r="O142" i="348"/>
  <c r="Q142" i="348"/>
  <c r="V148" i="348"/>
  <c r="V149" i="348"/>
  <c r="V150" i="348"/>
  <c r="V152" i="348"/>
  <c r="V153" i="348"/>
  <c r="V156" i="348"/>
  <c r="V157" i="348"/>
  <c r="V158" i="348"/>
  <c r="V159" i="348"/>
  <c r="R175" i="348"/>
  <c r="Q166" i="348"/>
  <c r="S166" i="348"/>
  <c r="Q169" i="348"/>
  <c r="S169" i="348"/>
  <c r="R174" i="348"/>
  <c r="R178" i="348"/>
  <c r="R183" i="348"/>
  <c r="E9" i="1"/>
  <c r="E10" i="1" s="1"/>
  <c r="G9" i="1"/>
  <c r="G10" i="1" s="1"/>
  <c r="I10" i="1"/>
  <c r="K10" i="1"/>
  <c r="M10" i="1"/>
  <c r="E74" i="348" l="1"/>
  <c r="M113" i="348"/>
  <c r="M155" i="348"/>
  <c r="X181" i="348" s="1"/>
  <c r="Q181" i="348"/>
  <c r="O155" i="348"/>
  <c r="R155" i="348" s="1"/>
  <c r="H160" i="348"/>
  <c r="M121" i="348"/>
  <c r="Q121" i="348"/>
  <c r="E80" i="348"/>
  <c r="L95" i="348" s="1"/>
  <c r="M95" i="348" s="1"/>
  <c r="O147" i="348"/>
  <c r="R147" i="348" s="1"/>
  <c r="S147" i="348" s="1"/>
  <c r="Q173" i="348"/>
  <c r="Q174" i="348"/>
  <c r="Q178" i="348"/>
  <c r="Q183" i="348"/>
  <c r="Q185" i="348"/>
  <c r="Q182" i="348"/>
  <c r="Q175" i="348"/>
  <c r="Q179" i="348"/>
  <c r="Q184" i="348"/>
  <c r="Q176" i="348"/>
  <c r="Q180" i="348"/>
  <c r="Q177" i="348"/>
  <c r="Q186" i="348"/>
  <c r="M116" i="348"/>
  <c r="M176" i="348" s="1"/>
  <c r="N176" i="348" s="1"/>
  <c r="T176" i="348" s="1"/>
  <c r="M120" i="348"/>
  <c r="M180" i="348" s="1"/>
  <c r="N180" i="348" s="1"/>
  <c r="T180" i="348" s="1"/>
  <c r="M125" i="348"/>
  <c r="M185" i="348" s="1"/>
  <c r="N185" i="348" s="1"/>
  <c r="T185" i="348" s="1"/>
  <c r="M118" i="348"/>
  <c r="M178" i="348" s="1"/>
  <c r="N178" i="348" s="1"/>
  <c r="T178" i="348" s="1"/>
  <c r="M123" i="348"/>
  <c r="M183" i="348" s="1"/>
  <c r="N183" i="348" s="1"/>
  <c r="T183" i="348" s="1"/>
  <c r="M119" i="348"/>
  <c r="M179" i="348" s="1"/>
  <c r="N179" i="348" s="1"/>
  <c r="T179" i="348" s="1"/>
  <c r="M117" i="348"/>
  <c r="M122" i="348"/>
  <c r="M182" i="348" s="1"/>
  <c r="N182" i="348" s="1"/>
  <c r="T182" i="348" s="1"/>
  <c r="M126" i="348"/>
  <c r="M186" i="348" s="1"/>
  <c r="N186" i="348" s="1"/>
  <c r="T186" i="348" s="1"/>
  <c r="M114" i="348"/>
  <c r="M174" i="348" s="1"/>
  <c r="N174" i="348" s="1"/>
  <c r="T174" i="348" s="1"/>
  <c r="M115" i="348"/>
  <c r="M175" i="348" s="1"/>
  <c r="N175" i="348" s="1"/>
  <c r="T175" i="348" s="1"/>
  <c r="M124" i="348"/>
  <c r="M184" i="348" s="1"/>
  <c r="N184" i="348" s="1"/>
  <c r="T184" i="348" s="1"/>
  <c r="K152" i="348"/>
  <c r="H152" i="348" s="1"/>
  <c r="K148" i="348"/>
  <c r="H148" i="348" s="1"/>
  <c r="H158" i="348"/>
  <c r="H156" i="348"/>
  <c r="K153" i="348"/>
  <c r="H153" i="348" s="1"/>
  <c r="K149" i="348"/>
  <c r="H149" i="348" s="1"/>
  <c r="H159" i="348"/>
  <c r="H157" i="348"/>
  <c r="K154" i="348"/>
  <c r="H154" i="348" s="1"/>
  <c r="K150" i="348"/>
  <c r="H150" i="348" s="1"/>
  <c r="K151" i="348"/>
  <c r="H151" i="348" s="1"/>
  <c r="M147" i="348"/>
  <c r="M160" i="348"/>
  <c r="O160" i="348"/>
  <c r="R160" i="348" s="1"/>
  <c r="S160" i="348" s="1"/>
  <c r="L159" i="348"/>
  <c r="O159" i="348" s="1"/>
  <c r="Q113" i="348"/>
  <c r="Q126" i="348"/>
  <c r="Q115" i="348"/>
  <c r="Q116" i="348"/>
  <c r="Q114" i="348"/>
  <c r="Q118" i="348"/>
  <c r="Q120" i="348"/>
  <c r="Q123" i="348"/>
  <c r="Q125" i="348"/>
  <c r="Q117" i="348"/>
  <c r="Q119" i="348"/>
  <c r="Q122" i="348"/>
  <c r="Q124" i="348"/>
  <c r="L150" i="348"/>
  <c r="L149" i="348"/>
  <c r="L148" i="348"/>
  <c r="D74" i="348"/>
  <c r="L157" i="348"/>
  <c r="L153" i="348"/>
  <c r="L152" i="348"/>
  <c r="L158" i="348"/>
  <c r="L156" i="348"/>
  <c r="L154" i="348"/>
  <c r="L151" i="348"/>
  <c r="R180" i="348"/>
  <c r="R176" i="348"/>
  <c r="R115" i="348"/>
  <c r="R184" i="348"/>
  <c r="R182" i="348"/>
  <c r="R179" i="348"/>
  <c r="R177" i="348"/>
  <c r="R124" i="348"/>
  <c r="R122" i="348"/>
  <c r="R119" i="348"/>
  <c r="R117" i="348"/>
  <c r="N95" i="348" l="1"/>
  <c r="O95" i="348"/>
  <c r="R95" i="348" s="1"/>
  <c r="N155" i="348"/>
  <c r="M177" i="348"/>
  <c r="N177" i="348" s="1"/>
  <c r="T177" i="348" s="1"/>
  <c r="N117" i="348"/>
  <c r="T117" i="348" s="1"/>
  <c r="N121" i="348"/>
  <c r="T121" i="348" s="1"/>
  <c r="M181" i="348"/>
  <c r="N181" i="348" s="1"/>
  <c r="T181" i="348" s="1"/>
  <c r="U181" i="348" s="1"/>
  <c r="Q155" i="348"/>
  <c r="P155" i="348"/>
  <c r="S155" i="348"/>
  <c r="W155" i="348" s="1"/>
  <c r="X155" i="348" s="1"/>
  <c r="V181" i="348" s="1"/>
  <c r="L87" i="348"/>
  <c r="M87" i="348" s="1"/>
  <c r="O87" i="348" s="1"/>
  <c r="N126" i="348"/>
  <c r="T126" i="348" s="1"/>
  <c r="N114" i="348"/>
  <c r="T114" i="348" s="1"/>
  <c r="N116" i="348"/>
  <c r="T116" i="348" s="1"/>
  <c r="N124" i="348"/>
  <c r="T124" i="348" s="1"/>
  <c r="N125" i="348"/>
  <c r="T125" i="348" s="1"/>
  <c r="N115" i="348"/>
  <c r="T115" i="348" s="1"/>
  <c r="N118" i="348"/>
  <c r="T118" i="348" s="1"/>
  <c r="M173" i="348"/>
  <c r="N173" i="348" s="1"/>
  <c r="T173" i="348" s="1"/>
  <c r="N113" i="348"/>
  <c r="T113" i="348" s="1"/>
  <c r="N147" i="348"/>
  <c r="X173" i="348"/>
  <c r="N160" i="348"/>
  <c r="X186" i="348"/>
  <c r="U186" i="348" s="1"/>
  <c r="L88" i="348"/>
  <c r="O154" i="348"/>
  <c r="R154" i="348" s="1"/>
  <c r="S154" i="348" s="1"/>
  <c r="O150" i="348"/>
  <c r="R150" i="348" s="1"/>
  <c r="S150" i="348" s="1"/>
  <c r="O153" i="348"/>
  <c r="R153" i="348" s="1"/>
  <c r="S153" i="348" s="1"/>
  <c r="O151" i="348"/>
  <c r="R151" i="348" s="1"/>
  <c r="S151" i="348" s="1"/>
  <c r="O156" i="348"/>
  <c r="R156" i="348" s="1"/>
  <c r="S156" i="348" s="1"/>
  <c r="O157" i="348"/>
  <c r="R157" i="348" s="1"/>
  <c r="S157" i="348" s="1"/>
  <c r="O149" i="348"/>
  <c r="L90" i="348"/>
  <c r="L89" i="348"/>
  <c r="W160" i="348"/>
  <c r="P160" i="348"/>
  <c r="L99" i="348"/>
  <c r="L100" i="348"/>
  <c r="M152" i="348"/>
  <c r="M158" i="348"/>
  <c r="O158" i="348"/>
  <c r="M159" i="348"/>
  <c r="M157" i="348"/>
  <c r="M149" i="348"/>
  <c r="M153" i="348"/>
  <c r="O152" i="348"/>
  <c r="M154" i="348"/>
  <c r="M150" i="348"/>
  <c r="O148" i="348"/>
  <c r="M148" i="348"/>
  <c r="N120" i="348"/>
  <c r="T120" i="348" s="1"/>
  <c r="N119" i="348"/>
  <c r="T119" i="348" s="1"/>
  <c r="N123" i="348"/>
  <c r="T123" i="348" s="1"/>
  <c r="N122" i="348"/>
  <c r="T122" i="348" s="1"/>
  <c r="M151" i="348"/>
  <c r="M156" i="348"/>
  <c r="L91" i="348"/>
  <c r="L94" i="348"/>
  <c r="L98" i="348"/>
  <c r="L93" i="348"/>
  <c r="L92" i="348"/>
  <c r="L96" i="348"/>
  <c r="L97" i="348"/>
  <c r="S95" i="348" l="1"/>
  <c r="N43" i="348"/>
  <c r="K43" i="348"/>
  <c r="L43" i="348"/>
  <c r="J43" i="348"/>
  <c r="M43" i="348"/>
  <c r="N48" i="348"/>
  <c r="K48" i="348"/>
  <c r="L48" i="348"/>
  <c r="J48" i="348"/>
  <c r="W181" i="348"/>
  <c r="P43" i="348" s="1"/>
  <c r="U155" i="348"/>
  <c r="O43" i="348" s="1"/>
  <c r="U121" i="348"/>
  <c r="U173" i="348"/>
  <c r="M96" i="348"/>
  <c r="N96" i="348" s="1"/>
  <c r="U122" i="348" s="1"/>
  <c r="M94" i="348"/>
  <c r="N94" i="348" s="1"/>
  <c r="U120" i="348" s="1"/>
  <c r="C42" i="348" s="1"/>
  <c r="M93" i="348"/>
  <c r="N93" i="348" s="1"/>
  <c r="U119" i="348" s="1"/>
  <c r="C41" i="348" s="1"/>
  <c r="M100" i="348"/>
  <c r="O100" i="348" s="1"/>
  <c r="R100" i="348" s="1"/>
  <c r="M89" i="348"/>
  <c r="O89" i="348" s="1"/>
  <c r="M97" i="348"/>
  <c r="O97" i="348" s="1"/>
  <c r="M98" i="348"/>
  <c r="O98" i="348" s="1"/>
  <c r="M90" i="348"/>
  <c r="O90" i="348" s="1"/>
  <c r="M92" i="348"/>
  <c r="O92" i="348" s="1"/>
  <c r="M88" i="348"/>
  <c r="O88" i="348" s="1"/>
  <c r="P88" i="348" s="1"/>
  <c r="N154" i="348"/>
  <c r="X180" i="348"/>
  <c r="U180" i="348" s="1"/>
  <c r="N152" i="348"/>
  <c r="X178" i="348"/>
  <c r="U178" i="348" s="1"/>
  <c r="N156" i="348"/>
  <c r="X182" i="348"/>
  <c r="U182" i="348" s="1"/>
  <c r="N153" i="348"/>
  <c r="X179" i="348"/>
  <c r="U179" i="348" s="1"/>
  <c r="N159" i="348"/>
  <c r="X185" i="348"/>
  <c r="U185" i="348" s="1"/>
  <c r="N157" i="348"/>
  <c r="X183" i="348"/>
  <c r="U183" i="348" s="1"/>
  <c r="N158" i="348"/>
  <c r="X184" i="348"/>
  <c r="U184" i="348" s="1"/>
  <c r="N148" i="348"/>
  <c r="X174" i="348"/>
  <c r="U174" i="348" s="1"/>
  <c r="N151" i="348"/>
  <c r="X177" i="348"/>
  <c r="U177" i="348" s="1"/>
  <c r="K39" i="348" s="1"/>
  <c r="N150" i="348"/>
  <c r="X176" i="348"/>
  <c r="U176" i="348" s="1"/>
  <c r="K38" i="348" s="1"/>
  <c r="N149" i="348"/>
  <c r="X175" i="348"/>
  <c r="U175" i="348" s="1"/>
  <c r="N87" i="348"/>
  <c r="U113" i="348" s="1"/>
  <c r="R149" i="348"/>
  <c r="S149" i="348" s="1"/>
  <c r="W149" i="348" s="1"/>
  <c r="X149" i="348" s="1"/>
  <c r="V175" i="348" s="1"/>
  <c r="R159" i="348"/>
  <c r="P159" i="348" s="1"/>
  <c r="R87" i="348"/>
  <c r="Q87" i="348"/>
  <c r="P87" i="348"/>
  <c r="M91" i="348"/>
  <c r="O91" i="348" s="1"/>
  <c r="M99" i="348"/>
  <c r="N99" i="348" s="1"/>
  <c r="U125" i="348" s="1"/>
  <c r="X160" i="348"/>
  <c r="V186" i="348" s="1"/>
  <c r="W186" i="348" s="1"/>
  <c r="P48" i="348" s="1"/>
  <c r="Q160" i="348"/>
  <c r="M48" i="348" s="1"/>
  <c r="P153" i="348"/>
  <c r="Q153" i="348"/>
  <c r="P150" i="348"/>
  <c r="Q150" i="348"/>
  <c r="P156" i="348"/>
  <c r="Q156" i="348"/>
  <c r="P154" i="348"/>
  <c r="Q154" i="348"/>
  <c r="P157" i="348"/>
  <c r="Q157" i="348"/>
  <c r="P151" i="348"/>
  <c r="Q151" i="348"/>
  <c r="Q147" i="348"/>
  <c r="U160" i="348"/>
  <c r="O48" i="348" s="1"/>
  <c r="W153" i="348"/>
  <c r="X153" i="348" s="1"/>
  <c r="V179" i="348" s="1"/>
  <c r="W150" i="348"/>
  <c r="X150" i="348" s="1"/>
  <c r="V176" i="348" s="1"/>
  <c r="W156" i="348"/>
  <c r="X156" i="348" s="1"/>
  <c r="V182" i="348" s="1"/>
  <c r="W154" i="348"/>
  <c r="X154" i="348" s="1"/>
  <c r="V180" i="348" s="1"/>
  <c r="W157" i="348"/>
  <c r="X157" i="348" s="1"/>
  <c r="V183" i="348" s="1"/>
  <c r="W151" i="348"/>
  <c r="X151" i="348" s="1"/>
  <c r="V177" i="348" s="1"/>
  <c r="R148" i="348"/>
  <c r="S148" i="348" s="1"/>
  <c r="R152" i="348"/>
  <c r="S152" i="348" s="1"/>
  <c r="R158" i="348"/>
  <c r="S158" i="348" s="1"/>
  <c r="J47" i="348" l="1"/>
  <c r="K35" i="348"/>
  <c r="J35" i="348"/>
  <c r="C44" i="348"/>
  <c r="C43" i="348"/>
  <c r="E19" i="1" s="1"/>
  <c r="C47" i="348"/>
  <c r="L42" i="348"/>
  <c r="M42" i="348"/>
  <c r="N42" i="348"/>
  <c r="K42" i="348"/>
  <c r="L47" i="348"/>
  <c r="K47" i="348"/>
  <c r="K46" i="348"/>
  <c r="N46" i="348"/>
  <c r="J46" i="348"/>
  <c r="L45" i="348"/>
  <c r="M45" i="348"/>
  <c r="J45" i="348"/>
  <c r="N45" i="348"/>
  <c r="K45" i="348"/>
  <c r="N44" i="348"/>
  <c r="K44" i="348"/>
  <c r="L44" i="348"/>
  <c r="J44" i="348"/>
  <c r="E20" i="1" s="1"/>
  <c r="M44" i="348"/>
  <c r="Q95" i="348"/>
  <c r="F43" i="348" s="1"/>
  <c r="P95" i="348"/>
  <c r="E43" i="348" s="1"/>
  <c r="G43" i="348"/>
  <c r="I19" i="1" s="1"/>
  <c r="M35" i="348"/>
  <c r="N98" i="348"/>
  <c r="U124" i="348" s="1"/>
  <c r="O96" i="348"/>
  <c r="Q96" i="348" s="1"/>
  <c r="F44" i="348" s="1"/>
  <c r="N89" i="348"/>
  <c r="U115" i="348" s="1"/>
  <c r="W182" i="348"/>
  <c r="P44" i="348" s="1"/>
  <c r="O93" i="348"/>
  <c r="R93" i="348" s="1"/>
  <c r="S93" i="348" s="1"/>
  <c r="N100" i="348"/>
  <c r="U126" i="348" s="1"/>
  <c r="N92" i="348"/>
  <c r="U118" i="348" s="1"/>
  <c r="N97" i="348"/>
  <c r="U123" i="348" s="1"/>
  <c r="N90" i="348"/>
  <c r="U116" i="348" s="1"/>
  <c r="O94" i="348"/>
  <c r="Q94" i="348" s="1"/>
  <c r="F42" i="348" s="1"/>
  <c r="R88" i="348"/>
  <c r="Q88" i="348"/>
  <c r="N88" i="348"/>
  <c r="U114" i="348" s="1"/>
  <c r="W176" i="348"/>
  <c r="P38" i="348" s="1"/>
  <c r="M38" i="348"/>
  <c r="W180" i="348"/>
  <c r="P42" i="348" s="1"/>
  <c r="J37" i="348"/>
  <c r="L41" i="348"/>
  <c r="J42" i="348"/>
  <c r="J36" i="348"/>
  <c r="J38" i="348"/>
  <c r="L38" i="348"/>
  <c r="J41" i="348"/>
  <c r="J40" i="348"/>
  <c r="K41" i="348"/>
  <c r="W177" i="348"/>
  <c r="P39" i="348" s="1"/>
  <c r="W183" i="348"/>
  <c r="P45" i="348" s="1"/>
  <c r="W179" i="348"/>
  <c r="P41" i="348" s="1"/>
  <c r="L39" i="348"/>
  <c r="W175" i="348"/>
  <c r="P37" i="348" s="1"/>
  <c r="J39" i="348"/>
  <c r="M39" i="348"/>
  <c r="M41" i="348"/>
  <c r="S87" i="348"/>
  <c r="U87" i="348" s="1"/>
  <c r="K37" i="348"/>
  <c r="P149" i="348"/>
  <c r="L37" i="348" s="1"/>
  <c r="Q159" i="348"/>
  <c r="M47" i="348" s="1"/>
  <c r="N91" i="348"/>
  <c r="U117" i="348" s="1"/>
  <c r="Q149" i="348"/>
  <c r="M37" i="348" s="1"/>
  <c r="S159" i="348"/>
  <c r="W159" i="348" s="1"/>
  <c r="X159" i="348" s="1"/>
  <c r="V185" i="348" s="1"/>
  <c r="W185" i="348" s="1"/>
  <c r="P47" i="348" s="1"/>
  <c r="P90" i="348"/>
  <c r="Q90" i="348"/>
  <c r="P89" i="348"/>
  <c r="Q89" i="348"/>
  <c r="P92" i="348"/>
  <c r="Q92" i="348"/>
  <c r="P97" i="348"/>
  <c r="Q97" i="348"/>
  <c r="P100" i="348"/>
  <c r="Q100" i="348"/>
  <c r="P98" i="348"/>
  <c r="Q98" i="348"/>
  <c r="P91" i="348"/>
  <c r="Q91" i="348"/>
  <c r="O99" i="348"/>
  <c r="R99" i="348" s="1"/>
  <c r="D47" i="348" s="1"/>
  <c r="P147" i="348"/>
  <c r="L35" i="348" s="1"/>
  <c r="P158" i="348"/>
  <c r="L46" i="348" s="1"/>
  <c r="Q158" i="348"/>
  <c r="M46" i="348" s="1"/>
  <c r="P152" i="348"/>
  <c r="L40" i="348" s="1"/>
  <c r="Q152" i="348"/>
  <c r="M40" i="348" s="1"/>
  <c r="P148" i="348"/>
  <c r="L36" i="348" s="1"/>
  <c r="Q148" i="348"/>
  <c r="M36" i="348" s="1"/>
  <c r="W147" i="348"/>
  <c r="X147" i="348" s="1"/>
  <c r="N35" i="348"/>
  <c r="U147" i="348"/>
  <c r="O35" i="348" s="1"/>
  <c r="N41" i="348"/>
  <c r="N39" i="348"/>
  <c r="U151" i="348"/>
  <c r="O39" i="348" s="1"/>
  <c r="N38" i="348"/>
  <c r="N37" i="348"/>
  <c r="U149" i="348"/>
  <c r="O37" i="348" s="1"/>
  <c r="U156" i="348"/>
  <c r="O44" i="348" s="1"/>
  <c r="U157" i="348"/>
  <c r="O45" i="348" s="1"/>
  <c r="U154" i="348"/>
  <c r="O42" i="348" s="1"/>
  <c r="W148" i="348"/>
  <c r="X148" i="348" s="1"/>
  <c r="V174" i="348" s="1"/>
  <c r="W174" i="348" s="1"/>
  <c r="P36" i="348" s="1"/>
  <c r="U153" i="348"/>
  <c r="O41" i="348" s="1"/>
  <c r="U152" i="348"/>
  <c r="O40" i="348" s="1"/>
  <c r="U150" i="348"/>
  <c r="O38" i="348" s="1"/>
  <c r="K36" i="348"/>
  <c r="K40" i="348"/>
  <c r="R90" i="348"/>
  <c r="R89" i="348"/>
  <c r="R91" i="348"/>
  <c r="R98" i="348"/>
  <c r="R92" i="348"/>
  <c r="R97" i="348"/>
  <c r="V173" i="348" l="1"/>
  <c r="W173" i="348" s="1"/>
  <c r="P35" i="348" s="1"/>
  <c r="D43" i="348"/>
  <c r="G19" i="1" s="1"/>
  <c r="N47" i="348"/>
  <c r="F48" i="348"/>
  <c r="D48" i="348"/>
  <c r="G24" i="1" s="1"/>
  <c r="C48" i="348"/>
  <c r="E24" i="1" s="1"/>
  <c r="E48" i="348"/>
  <c r="C45" i="348"/>
  <c r="F45" i="348"/>
  <c r="D45" i="348"/>
  <c r="E45" i="348"/>
  <c r="E46" i="348"/>
  <c r="F46" i="348"/>
  <c r="D46" i="348"/>
  <c r="G22" i="1" s="1"/>
  <c r="C46" i="348"/>
  <c r="E22" i="1" s="1"/>
  <c r="W95" i="348"/>
  <c r="X95" i="348" s="1"/>
  <c r="V121" i="348" s="1"/>
  <c r="W121" i="348" s="1"/>
  <c r="I43" i="348" s="1"/>
  <c r="M19" i="1" s="1"/>
  <c r="U95" i="348"/>
  <c r="H43" i="348" s="1"/>
  <c r="K19" i="1" s="1"/>
  <c r="G21" i="1"/>
  <c r="G23" i="1"/>
  <c r="E21" i="1"/>
  <c r="E23" i="1"/>
  <c r="S98" i="348"/>
  <c r="W98" i="348" s="1"/>
  <c r="S89" i="348"/>
  <c r="W89" i="348" s="1"/>
  <c r="X89" i="348" s="1"/>
  <c r="F37" i="348"/>
  <c r="P96" i="348"/>
  <c r="E44" i="348" s="1"/>
  <c r="R96" i="348"/>
  <c r="E37" i="348"/>
  <c r="P94" i="348"/>
  <c r="E42" i="348" s="1"/>
  <c r="Q93" i="348"/>
  <c r="F41" i="348" s="1"/>
  <c r="F38" i="348"/>
  <c r="P93" i="348"/>
  <c r="E41" i="348" s="1"/>
  <c r="S92" i="348"/>
  <c r="U92" i="348" s="1"/>
  <c r="H40" i="348" s="1"/>
  <c r="K16" i="1" s="1"/>
  <c r="E40" i="348"/>
  <c r="F40" i="348"/>
  <c r="S100" i="348"/>
  <c r="U100" i="348" s="1"/>
  <c r="H48" i="348" s="1"/>
  <c r="K24" i="1" s="1"/>
  <c r="S90" i="348"/>
  <c r="W90" i="348" s="1"/>
  <c r="R94" i="348"/>
  <c r="S94" i="348" s="1"/>
  <c r="U94" i="348" s="1"/>
  <c r="H42" i="348" s="1"/>
  <c r="K18" i="1" s="1"/>
  <c r="E38" i="348"/>
  <c r="S88" i="348"/>
  <c r="U88" i="348" s="1"/>
  <c r="S97" i="348"/>
  <c r="W97" i="348" s="1"/>
  <c r="D35" i="348"/>
  <c r="G11" i="1" s="1"/>
  <c r="C35" i="348"/>
  <c r="E11" i="1" s="1"/>
  <c r="E39" i="348"/>
  <c r="S91" i="348"/>
  <c r="G39" i="348" s="1"/>
  <c r="I15" i="1" s="1"/>
  <c r="F39" i="348"/>
  <c r="U159" i="348"/>
  <c r="O47" i="348" s="1"/>
  <c r="P99" i="348"/>
  <c r="E47" i="348" s="1"/>
  <c r="Q99" i="348"/>
  <c r="F47" i="348" s="1"/>
  <c r="S99" i="348"/>
  <c r="G47" i="348" s="1"/>
  <c r="G35" i="348"/>
  <c r="I11" i="1" s="1"/>
  <c r="E35" i="348"/>
  <c r="F35" i="348"/>
  <c r="W87" i="348"/>
  <c r="X87" i="348" s="1"/>
  <c r="H35" i="348"/>
  <c r="K11" i="1" s="1"/>
  <c r="N36" i="348"/>
  <c r="U148" i="348"/>
  <c r="O36" i="348" s="1"/>
  <c r="W152" i="348"/>
  <c r="X152" i="348" s="1"/>
  <c r="V178" i="348" s="1"/>
  <c r="W178" i="348" s="1"/>
  <c r="P40" i="348" s="1"/>
  <c r="N40" i="348"/>
  <c r="W158" i="348"/>
  <c r="X158" i="348" s="1"/>
  <c r="V184" i="348" s="1"/>
  <c r="W184" i="348" s="1"/>
  <c r="P46" i="348" s="1"/>
  <c r="U158" i="348"/>
  <c r="O46" i="348" s="1"/>
  <c r="D41" i="348"/>
  <c r="G17" i="1" s="1"/>
  <c r="E17" i="1"/>
  <c r="G41" i="348"/>
  <c r="I17" i="1" s="1"/>
  <c r="D39" i="348"/>
  <c r="G15" i="1" s="1"/>
  <c r="C39" i="348"/>
  <c r="E15" i="1" s="1"/>
  <c r="D37" i="348"/>
  <c r="G13" i="1" s="1"/>
  <c r="C37" i="348"/>
  <c r="E13" i="1" s="1"/>
  <c r="E18" i="1"/>
  <c r="D38" i="348"/>
  <c r="G14" i="1" s="1"/>
  <c r="C38" i="348"/>
  <c r="E14" i="1" s="1"/>
  <c r="D40" i="348"/>
  <c r="G16" i="1" s="1"/>
  <c r="C40" i="348"/>
  <c r="E16" i="1" s="1"/>
  <c r="W93" i="348"/>
  <c r="U93" i="348"/>
  <c r="H41" i="348" s="1"/>
  <c r="K17" i="1" s="1"/>
  <c r="G48" i="348" l="1"/>
  <c r="I24" i="1" s="1"/>
  <c r="G45" i="348"/>
  <c r="I21" i="1" s="1"/>
  <c r="G46" i="348"/>
  <c r="S96" i="348"/>
  <c r="U96" i="348" s="1"/>
  <c r="H44" i="348" s="1"/>
  <c r="K20" i="1" s="1"/>
  <c r="D44" i="348"/>
  <c r="G20" i="1" s="1"/>
  <c r="G36" i="348"/>
  <c r="I12" i="1" s="1"/>
  <c r="I22" i="1"/>
  <c r="I23" i="1"/>
  <c r="U89" i="348"/>
  <c r="H37" i="348" s="1"/>
  <c r="K13" i="1" s="1"/>
  <c r="U98" i="348"/>
  <c r="H46" i="348" s="1"/>
  <c r="K22" i="1" s="1"/>
  <c r="G37" i="348"/>
  <c r="I13" i="1" s="1"/>
  <c r="W94" i="348"/>
  <c r="X94" i="348" s="1"/>
  <c r="V120" i="348" s="1"/>
  <c r="W120" i="348" s="1"/>
  <c r="G40" i="348"/>
  <c r="I16" i="1" s="1"/>
  <c r="W92" i="348"/>
  <c r="X92" i="348" s="1"/>
  <c r="V118" i="348" s="1"/>
  <c r="W118" i="348" s="1"/>
  <c r="I40" i="348" s="1"/>
  <c r="M16" i="1" s="1"/>
  <c r="U90" i="348"/>
  <c r="H38" i="348" s="1"/>
  <c r="K14" i="1" s="1"/>
  <c r="G38" i="348"/>
  <c r="I14" i="1" s="1"/>
  <c r="G42" i="348"/>
  <c r="I18" i="1" s="1"/>
  <c r="D42" i="348"/>
  <c r="G18" i="1" s="1"/>
  <c r="W100" i="348"/>
  <c r="X100" i="348" s="1"/>
  <c r="V126" i="348" s="1"/>
  <c r="W126" i="348" s="1"/>
  <c r="I48" i="348" s="1"/>
  <c r="M24" i="1" s="1"/>
  <c r="X90" i="348"/>
  <c r="V116" i="348" s="1"/>
  <c r="W116" i="348" s="1"/>
  <c r="I38" i="348" s="1"/>
  <c r="M14" i="1" s="1"/>
  <c r="X93" i="348"/>
  <c r="V119" i="348" s="1"/>
  <c r="W119" i="348" s="1"/>
  <c r="I41" i="348" s="1"/>
  <c r="M17" i="1" s="1"/>
  <c r="X98" i="348"/>
  <c r="V124" i="348" s="1"/>
  <c r="W124" i="348" s="1"/>
  <c r="I46" i="348" s="1"/>
  <c r="M22" i="1" s="1"/>
  <c r="X97" i="348"/>
  <c r="V123" i="348" s="1"/>
  <c r="W123" i="348" s="1"/>
  <c r="I45" i="348" s="1"/>
  <c r="M21" i="1" s="1"/>
  <c r="W88" i="348"/>
  <c r="X88" i="348" s="1"/>
  <c r="V114" i="348" s="1"/>
  <c r="W114" i="348" s="1"/>
  <c r="I36" i="348" s="1"/>
  <c r="M12" i="1" s="1"/>
  <c r="U97" i="348"/>
  <c r="H45" i="348" s="1"/>
  <c r="K21" i="1" s="1"/>
  <c r="H36" i="348"/>
  <c r="K12" i="1" s="1"/>
  <c r="D36" i="348"/>
  <c r="G12" i="1" s="1"/>
  <c r="E36" i="348"/>
  <c r="F36" i="348"/>
  <c r="C36" i="348"/>
  <c r="E12" i="1" s="1"/>
  <c r="W91" i="348"/>
  <c r="U91" i="348"/>
  <c r="H39" i="348" s="1"/>
  <c r="K15" i="1" s="1"/>
  <c r="U99" i="348"/>
  <c r="H47" i="348" s="1"/>
  <c r="K23" i="1" s="1"/>
  <c r="W99" i="348"/>
  <c r="V113" i="348"/>
  <c r="V115" i="348"/>
  <c r="W115" i="348" s="1"/>
  <c r="I37" i="348" s="1"/>
  <c r="M13" i="1" s="1"/>
  <c r="W96" i="348" l="1"/>
  <c r="X96" i="348" s="1"/>
  <c r="V122" i="348" s="1"/>
  <c r="W122" i="348" s="1"/>
  <c r="I44" i="348" s="1"/>
  <c r="M20" i="1" s="1"/>
  <c r="G44" i="348"/>
  <c r="I20" i="1" s="1"/>
  <c r="X91" i="348"/>
  <c r="V117" i="348" s="1"/>
  <c r="W117" i="348" s="1"/>
  <c r="I39" i="348" s="1"/>
  <c r="M15" i="1" s="1"/>
  <c r="X99" i="348"/>
  <c r="V125" i="348" s="1"/>
  <c r="W125" i="348" s="1"/>
  <c r="I47" i="348" s="1"/>
  <c r="M23" i="1" s="1"/>
  <c r="W113" i="348"/>
  <c r="I35" i="348" s="1"/>
  <c r="M11" i="1" s="1"/>
  <c r="I42" i="348"/>
  <c r="M18" i="1" s="1"/>
</calcChain>
</file>

<file path=xl/sharedStrings.xml><?xml version="1.0" encoding="utf-8"?>
<sst xmlns="http://schemas.openxmlformats.org/spreadsheetml/2006/main" count="350" uniqueCount="177">
  <si>
    <t>lm/W</t>
  </si>
  <si>
    <t>Series</t>
  </si>
  <si>
    <t>Parallel</t>
  </si>
  <si>
    <t>Judgement</t>
  </si>
  <si>
    <t>U/L</t>
  </si>
  <si>
    <t>L/L</t>
  </si>
  <si>
    <t>IF Limit</t>
  </si>
  <si>
    <t>Tj Limit</t>
  </si>
  <si>
    <t>Tj</t>
  </si>
  <si>
    <t>2,700K</t>
  </si>
  <si>
    <t>CCT,Ra</t>
    <phoneticPr fontId="4"/>
  </si>
  <si>
    <t>Tc (C)</t>
    <phoneticPr fontId="4"/>
  </si>
  <si>
    <t>Product code</t>
    <phoneticPr fontId="4"/>
  </si>
  <si>
    <t>Tj (C)</t>
    <phoneticPr fontId="4"/>
  </si>
  <si>
    <t>Code</t>
    <phoneticPr fontId="4"/>
  </si>
  <si>
    <t>CITILED is a registered trademark of CITIZEN ELECTRONICS CO., LTD. Japan.</t>
    <phoneticPr fontId="4"/>
  </si>
  <si>
    <t>Series</t>
    <phoneticPr fontId="4"/>
  </si>
  <si>
    <t>CCT</t>
    <phoneticPr fontId="4"/>
  </si>
  <si>
    <t>Ra</t>
    <phoneticPr fontId="4"/>
  </si>
  <si>
    <t>CCT&amp;Ra</t>
    <phoneticPr fontId="4"/>
  </si>
  <si>
    <t>Color code</t>
    <phoneticPr fontId="4"/>
  </si>
  <si>
    <t>Phosphor</t>
    <phoneticPr fontId="4"/>
  </si>
  <si>
    <t>5,000K</t>
    <phoneticPr fontId="4"/>
  </si>
  <si>
    <t>80Min</t>
    <phoneticPr fontId="4"/>
  </si>
  <si>
    <t>3,000K</t>
    <phoneticPr fontId="4"/>
  </si>
  <si>
    <t>Luminous flux</t>
    <phoneticPr fontId="4"/>
  </si>
  <si>
    <t>If (mA)</t>
    <phoneticPr fontId="4"/>
  </si>
  <si>
    <t>Pd (W)</t>
    <phoneticPr fontId="4"/>
  </si>
  <si>
    <t>lm/W</t>
    <phoneticPr fontId="4"/>
  </si>
  <si>
    <t>lm</t>
    <phoneticPr fontId="4"/>
  </si>
  <si>
    <t>Forward current</t>
    <phoneticPr fontId="4"/>
  </si>
  <si>
    <t>φv (lm)</t>
    <phoneticPr fontId="4"/>
  </si>
  <si>
    <t>mA</t>
    <phoneticPr fontId="4"/>
  </si>
  <si>
    <t>Vf</t>
    <phoneticPr fontId="4"/>
  </si>
  <si>
    <t>W</t>
    <phoneticPr fontId="4"/>
  </si>
  <si>
    <t>[Luminous flux]</t>
    <phoneticPr fontId="4"/>
  </si>
  <si>
    <t>[Forward current]</t>
    <phoneticPr fontId="4"/>
  </si>
  <si>
    <t>Limit</t>
    <phoneticPr fontId="4"/>
  </si>
  <si>
    <t>IF Limit</t>
    <phoneticPr fontId="4"/>
  </si>
  <si>
    <t>L/L</t>
    <phoneticPr fontId="4"/>
  </si>
  <si>
    <t>U/L</t>
    <phoneticPr fontId="4"/>
  </si>
  <si>
    <t>Tj Limit</t>
    <phoneticPr fontId="4"/>
  </si>
  <si>
    <t>IF(x)-lm%(y)</t>
    <phoneticPr fontId="4"/>
  </si>
  <si>
    <t>lm%(x)-IF(y)</t>
    <phoneticPr fontId="4"/>
  </si>
  <si>
    <t>IF(x)-VF%(y)</t>
    <phoneticPr fontId="4"/>
  </si>
  <si>
    <t>Tc(x)-lm%(y)</t>
    <phoneticPr fontId="4"/>
  </si>
  <si>
    <t>Tc(x)-VF%(y)</t>
    <phoneticPr fontId="4"/>
  </si>
  <si>
    <t>a</t>
    <phoneticPr fontId="4"/>
  </si>
  <si>
    <t>b</t>
    <phoneticPr fontId="4"/>
  </si>
  <si>
    <t>c</t>
    <phoneticPr fontId="4"/>
  </si>
  <si>
    <t>VF</t>
    <phoneticPr fontId="4"/>
  </si>
  <si>
    <t>Tc</t>
    <phoneticPr fontId="4"/>
  </si>
  <si>
    <t>lm Tc-compensation</t>
    <phoneticPr fontId="4"/>
  </si>
  <si>
    <t>lm/die</t>
    <phoneticPr fontId="4"/>
  </si>
  <si>
    <t>lm%</t>
    <phoneticPr fontId="4"/>
  </si>
  <si>
    <t>IF/die</t>
    <phoneticPr fontId="4"/>
  </si>
  <si>
    <t>IF/PKG</t>
    <phoneticPr fontId="4"/>
  </si>
  <si>
    <t>VF Tc-compensation</t>
    <phoneticPr fontId="4"/>
  </si>
  <si>
    <t>Rj-c</t>
    <phoneticPr fontId="4"/>
  </si>
  <si>
    <t>Tj</t>
    <phoneticPr fontId="4"/>
  </si>
  <si>
    <t>Judgement</t>
    <phoneticPr fontId="4"/>
  </si>
  <si>
    <t>Shown</t>
    <phoneticPr fontId="4"/>
  </si>
  <si>
    <t>mA</t>
    <phoneticPr fontId="4"/>
  </si>
  <si>
    <t>Tc</t>
    <phoneticPr fontId="4"/>
  </si>
  <si>
    <t>d</t>
    <phoneticPr fontId="4"/>
  </si>
  <si>
    <t>d</t>
    <phoneticPr fontId="4"/>
  </si>
  <si>
    <t>Tc Limit</t>
    <phoneticPr fontId="4"/>
  </si>
  <si>
    <t>Tc Limit</t>
    <phoneticPr fontId="4"/>
  </si>
  <si>
    <t>IF Limit</t>
    <phoneticPr fontId="4"/>
  </si>
  <si>
    <t>U/L</t>
    <phoneticPr fontId="4"/>
  </si>
  <si>
    <t>Vf_min (V)</t>
  </si>
  <si>
    <t>Vf_max (V)</t>
  </si>
  <si>
    <t>Vfmin</t>
  </si>
  <si>
    <t>Vfmin</t>
    <phoneticPr fontId="4"/>
  </si>
  <si>
    <t>Vfmax</t>
  </si>
  <si>
    <t>Vfmax</t>
    <phoneticPr fontId="4"/>
  </si>
  <si>
    <t>Vftyp</t>
    <phoneticPr fontId="4"/>
  </si>
  <si>
    <t>Vf</t>
  </si>
  <si>
    <t>If</t>
  </si>
  <si>
    <t>This selection tool is the reference material for selecting suitable products.</t>
  </si>
  <si>
    <t>When electing to use a product, please be sure to request a delivery and specifications manual and check the contents.</t>
  </si>
  <si>
    <t>CITIZEN ELECTRONICS CO., LTD. shall not be liable for any disadvantages or damages, which your company may receive, resulting from the use of selection tool.</t>
  </si>
  <si>
    <t>Product names and specifications in this selection tool are subject to change without notice for the purpose of improvement, or manufacturing may be discontinued.</t>
  </si>
  <si>
    <t>503M2</t>
    <phoneticPr fontId="4"/>
  </si>
  <si>
    <t>90mA,Tc25C</t>
    <phoneticPr fontId="4"/>
  </si>
  <si>
    <t>Vf (V)</t>
    <phoneticPr fontId="4"/>
  </si>
  <si>
    <t>Vf (V)</t>
    <phoneticPr fontId="4"/>
  </si>
  <si>
    <t>5000K,80Min</t>
    <phoneticPr fontId="4"/>
  </si>
  <si>
    <t>3000K,70Min</t>
    <phoneticPr fontId="4"/>
  </si>
  <si>
    <t>50AL7</t>
    <phoneticPr fontId="4"/>
  </si>
  <si>
    <t>40AL7</t>
    <phoneticPr fontId="4"/>
  </si>
  <si>
    <t>30AL7</t>
    <phoneticPr fontId="4"/>
  </si>
  <si>
    <t>6500K,80Min</t>
    <phoneticPr fontId="4"/>
  </si>
  <si>
    <t>4000K,80Min</t>
    <phoneticPr fontId="4"/>
  </si>
  <si>
    <t>3500K,80Min</t>
    <phoneticPr fontId="4"/>
  </si>
  <si>
    <t>3000K,80Min</t>
    <phoneticPr fontId="4"/>
  </si>
  <si>
    <t>2700K,80Min</t>
    <phoneticPr fontId="4"/>
  </si>
  <si>
    <t>653M2</t>
    <phoneticPr fontId="4"/>
  </si>
  <si>
    <t>403M2</t>
    <phoneticPr fontId="4"/>
  </si>
  <si>
    <t>353M2</t>
    <phoneticPr fontId="4"/>
  </si>
  <si>
    <t>303M2</t>
    <phoneticPr fontId="4"/>
  </si>
  <si>
    <t>273M2</t>
    <phoneticPr fontId="4"/>
  </si>
  <si>
    <t>4000K,90Min On BBL</t>
    <phoneticPr fontId="4"/>
  </si>
  <si>
    <t>3500K,90Min On BBL</t>
    <phoneticPr fontId="4"/>
  </si>
  <si>
    <t>3000K,90Min On BBL</t>
    <phoneticPr fontId="4"/>
  </si>
  <si>
    <t>2700K,90Min On BBL</t>
    <phoneticPr fontId="4"/>
  </si>
  <si>
    <t>403H5</t>
    <phoneticPr fontId="4"/>
  </si>
  <si>
    <t>353H5</t>
    <phoneticPr fontId="4"/>
  </si>
  <si>
    <t>303H5</t>
    <phoneticPr fontId="4"/>
  </si>
  <si>
    <t>273H5</t>
    <phoneticPr fontId="4"/>
  </si>
  <si>
    <t>353H6</t>
    <phoneticPr fontId="4"/>
  </si>
  <si>
    <t>303H6</t>
    <phoneticPr fontId="4"/>
  </si>
  <si>
    <t>273H6</t>
    <phoneticPr fontId="4"/>
  </si>
  <si>
    <t>3500K,90Min B. BBL</t>
    <phoneticPr fontId="4"/>
  </si>
  <si>
    <t>3000K,90Min B. BBL</t>
    <phoneticPr fontId="4"/>
  </si>
  <si>
    <t>2700K,90Min B. BBL</t>
    <phoneticPr fontId="4"/>
  </si>
  <si>
    <t>403H7</t>
    <phoneticPr fontId="4"/>
  </si>
  <si>
    <t>303H7</t>
    <phoneticPr fontId="4"/>
  </si>
  <si>
    <t>273H7</t>
    <phoneticPr fontId="4"/>
  </si>
  <si>
    <t>4000K,97Typ</t>
    <phoneticPr fontId="4"/>
  </si>
  <si>
    <t>3000K,97Typ</t>
    <phoneticPr fontId="4"/>
  </si>
  <si>
    <t>2700K,97Typ</t>
    <phoneticPr fontId="4"/>
  </si>
  <si>
    <t>4,000K</t>
    <phoneticPr fontId="4"/>
  </si>
  <si>
    <t>3,500K</t>
    <phoneticPr fontId="4"/>
  </si>
  <si>
    <t>80Min</t>
    <phoneticPr fontId="4"/>
  </si>
  <si>
    <t>80Min</t>
    <phoneticPr fontId="4"/>
  </si>
  <si>
    <t>NA</t>
    <phoneticPr fontId="4"/>
  </si>
  <si>
    <t>lumen</t>
    <phoneticPr fontId="4"/>
  </si>
  <si>
    <t>NA</t>
    <phoneticPr fontId="4"/>
  </si>
  <si>
    <t>90mA,Tj=85C</t>
    <phoneticPr fontId="4"/>
  </si>
  <si>
    <t>IF(x)-lm%(y)</t>
    <phoneticPr fontId="4"/>
  </si>
  <si>
    <t>4000K,70Min</t>
    <phoneticPr fontId="4"/>
  </si>
  <si>
    <t>CLU028-1201C4</t>
  </si>
  <si>
    <t>CLU028-1202C4</t>
  </si>
  <si>
    <t>CLU028-1203C4</t>
  </si>
  <si>
    <t>CLU028-1204C4</t>
  </si>
  <si>
    <t>CLU038-1205C4</t>
  </si>
  <si>
    <t>CLU038-1206C4</t>
  </si>
  <si>
    <t>CLU038-1208C4</t>
  </si>
  <si>
    <t>CLU038-1210C4</t>
  </si>
  <si>
    <t>CLU048-1212C4</t>
  </si>
  <si>
    <t>CLU048-1812C4</t>
  </si>
  <si>
    <t>CLU048-1818C4</t>
  </si>
  <si>
    <t>CLU058-1825C4</t>
  </si>
  <si>
    <t>CLU058-3618C4</t>
  </si>
  <si>
    <t>C4</t>
  </si>
  <si>
    <t>CLU048-1211C4</t>
    <phoneticPr fontId="4"/>
  </si>
  <si>
    <t>5000K,70Min</t>
    <phoneticPr fontId="4"/>
  </si>
  <si>
    <t>5,700K</t>
    <phoneticPr fontId="4"/>
  </si>
  <si>
    <t>5700K,80Min</t>
    <phoneticPr fontId="4"/>
  </si>
  <si>
    <t>573M2</t>
    <phoneticPr fontId="4"/>
  </si>
  <si>
    <t>5700K,90Min On BBL</t>
    <phoneticPr fontId="4"/>
  </si>
  <si>
    <t>573H5</t>
    <phoneticPr fontId="4"/>
  </si>
  <si>
    <t>F1</t>
    <phoneticPr fontId="4"/>
  </si>
  <si>
    <t>M2</t>
    <phoneticPr fontId="4"/>
  </si>
  <si>
    <t>M3</t>
    <phoneticPr fontId="4"/>
  </si>
  <si>
    <t>M4</t>
    <phoneticPr fontId="4"/>
  </si>
  <si>
    <t>M5</t>
    <phoneticPr fontId="4"/>
  </si>
  <si>
    <t>Tc-VF係数</t>
    <rPh sb="5" eb="7">
      <t>ケイスウ</t>
    </rPh>
    <phoneticPr fontId="4"/>
  </si>
  <si>
    <t>Tc-LM係数</t>
    <rPh sb="5" eb="7">
      <t>ケイスウ</t>
    </rPh>
    <phoneticPr fontId="4"/>
  </si>
  <si>
    <t>S</t>
    <phoneticPr fontId="16"/>
  </si>
  <si>
    <t>P</t>
    <phoneticPr fontId="16"/>
  </si>
  <si>
    <t>Tj</t>
    <phoneticPr fontId="16"/>
  </si>
  <si>
    <t>IF(mA)</t>
    <phoneticPr fontId="16"/>
  </si>
  <si>
    <t>VF(V)</t>
    <phoneticPr fontId="16"/>
  </si>
  <si>
    <t>Rjc(℃/W)</t>
    <phoneticPr fontId="16"/>
  </si>
  <si>
    <t>Tc</t>
    <phoneticPr fontId="16"/>
  </si>
  <si>
    <t>VF@Tc=25C</t>
    <phoneticPr fontId="16"/>
  </si>
  <si>
    <t>φv@Tc=25C</t>
    <phoneticPr fontId="16"/>
  </si>
  <si>
    <t>Tc=25C定格Lm係数</t>
    <rPh sb="6" eb="8">
      <t>テイカク</t>
    </rPh>
    <rPh sb="10" eb="12">
      <t>ケイスウ</t>
    </rPh>
    <phoneticPr fontId="13"/>
  </si>
  <si>
    <t>係数</t>
    <rPh sb="0" eb="2">
      <t>ケイスウ</t>
    </rPh>
    <phoneticPr fontId="4"/>
  </si>
  <si>
    <t>⊿T j-c</t>
    <phoneticPr fontId="4"/>
  </si>
  <si>
    <t>ディレーティングカーブ</t>
    <phoneticPr fontId="4"/>
  </si>
  <si>
    <t>傾き</t>
    <rPh sb="0" eb="1">
      <t>カタム</t>
    </rPh>
    <phoneticPr fontId="4"/>
  </si>
  <si>
    <t>切片</t>
    <rPh sb="0" eb="2">
      <t>セッペン</t>
    </rPh>
    <phoneticPr fontId="4"/>
  </si>
  <si>
    <r>
      <t>y=ax</t>
    </r>
    <r>
      <rPr>
        <b/>
        <vertAlign val="superscript"/>
        <sz val="1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+bx</t>
    </r>
    <r>
      <rPr>
        <b/>
        <vertAlign val="superscript"/>
        <sz val="1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+cx+d/y=ax</t>
    </r>
    <r>
      <rPr>
        <b/>
        <vertAlign val="superscript"/>
        <sz val="1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+bx+c</t>
    </r>
    <phoneticPr fontId="4"/>
  </si>
  <si>
    <t>Ver1.0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</si>
</sst>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&quot;℃&quot;"/>
    <numFmt numFmtId="165" formatCode="0.0%"/>
    <numFmt numFmtId="166" formatCode="0.0"/>
    <numFmt numFmtId="167" formatCode="0.0000"/>
    <numFmt numFmtId="168" formatCode="0.000"/>
    <numFmt numFmtId="169" formatCode="0.000%"/>
    <numFmt numFmtId="170" formatCode="0.0_ "/>
    <numFmt numFmtId="171" formatCode="0.0_);[Red]\(0.0\)"/>
    <numFmt numFmtId="172" formatCode="0_ "/>
    <numFmt numFmtId="173" formatCode="0_);[Red]\(0\)"/>
    <numFmt numFmtId="174" formatCode="0.0000E+00"/>
    <numFmt numFmtId="175" formatCode="0.0000.E+00"/>
    <numFmt numFmtId="176" formatCode="0.0000%"/>
    <numFmt numFmtId="177" formatCode="0.000000000000%"/>
    <numFmt numFmtId="178" formatCode="0.000000000000000000%"/>
    <numFmt numFmtId="179" formatCode="0_ ;[Red]\-0\ "/>
    <numFmt numFmtId="180" formatCode="0.000000"/>
  </numFmts>
  <fonts count="23">
    <font>
      <sz val="11"/>
      <name val="ＭＳ Ｐゴシック"/>
      <charset val="128"/>
    </font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b/>
      <sz val="10"/>
      <color theme="0"/>
      <name val="メイリオ"/>
      <family val="3"/>
      <charset val="128"/>
    </font>
    <font>
      <sz val="6"/>
      <name val="Arial"/>
      <family val="2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vertAlign val="superscript"/>
      <sz val="10"/>
      <name val="メイリオ"/>
      <family val="3"/>
      <charset val="128"/>
    </font>
    <font>
      <b/>
      <i/>
      <sz val="10"/>
      <name val="メイリオ"/>
      <family val="3"/>
      <charset val="128"/>
    </font>
    <font>
      <strike/>
      <sz val="10"/>
      <name val="メイリオ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12"/>
      </left>
      <right style="medium">
        <color indexed="12"/>
      </right>
      <top style="dashed">
        <color indexed="12"/>
      </top>
      <bottom style="dashed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38" fontId="5" fillId="3" borderId="3" xfId="2" applyFont="1" applyFill="1" applyBorder="1" applyAlignment="1" applyProtection="1">
      <alignment vertical="center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/>
    <xf numFmtId="0" fontId="8" fillId="2" borderId="0" xfId="0" applyFont="1" applyFill="1" applyAlignment="1">
      <alignment horizontal="right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6" fillId="9" borderId="0" xfId="0" applyFont="1" applyFill="1" applyBorder="1" applyProtection="1">
      <protection hidden="1"/>
    </xf>
    <xf numFmtId="165" fontId="6" fillId="9" borderId="0" xfId="1" applyNumberFormat="1" applyFont="1" applyFill="1" applyBorder="1"/>
    <xf numFmtId="0" fontId="6" fillId="9" borderId="0" xfId="0" applyFont="1" applyFill="1"/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170" fontId="6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165" fontId="6" fillId="9" borderId="0" xfId="1" applyNumberFormat="1" applyFont="1" applyFill="1"/>
    <xf numFmtId="9" fontId="6" fillId="9" borderId="0" xfId="0" applyNumberFormat="1" applyFont="1" applyFill="1"/>
    <xf numFmtId="0" fontId="6" fillId="9" borderId="0" xfId="0" applyFont="1" applyFill="1" applyAlignment="1">
      <alignment horizontal="left"/>
    </xf>
    <xf numFmtId="0" fontId="6" fillId="9" borderId="0" xfId="0" applyFont="1" applyFill="1" applyAlignment="1">
      <alignment horizontal="center" vertical="center"/>
    </xf>
    <xf numFmtId="166" fontId="6" fillId="9" borderId="0" xfId="0" applyNumberFormat="1" applyFont="1" applyFill="1" applyAlignment="1">
      <alignment horizontal="center" vertical="center"/>
    </xf>
    <xf numFmtId="171" fontId="6" fillId="9" borderId="0" xfId="0" applyNumberFormat="1" applyFont="1" applyFill="1" applyAlignment="1">
      <alignment vertical="center"/>
    </xf>
    <xf numFmtId="0" fontId="6" fillId="9" borderId="0" xfId="0" applyNumberFormat="1" applyFont="1" applyFill="1" applyAlignment="1">
      <alignment vertical="center"/>
    </xf>
    <xf numFmtId="166" fontId="6" fillId="9" borderId="0" xfId="0" applyNumberFormat="1" applyFont="1" applyFill="1" applyAlignment="1">
      <alignment vertical="center"/>
    </xf>
    <xf numFmtId="0" fontId="6" fillId="2" borderId="3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right"/>
    </xf>
    <xf numFmtId="0" fontId="14" fillId="15" borderId="33" xfId="5" applyFont="1" applyFill="1" applyBorder="1" applyAlignment="1" applyProtection="1">
      <alignment horizontal="center" vertical="center" shrinkToFit="1"/>
    </xf>
    <xf numFmtId="0" fontId="15" fillId="0" borderId="0" xfId="8" applyFont="1">
      <alignment vertical="center"/>
    </xf>
    <xf numFmtId="180" fontId="14" fillId="15" borderId="33" xfId="5" applyNumberFormat="1" applyFont="1" applyFill="1" applyBorder="1" applyAlignment="1" applyProtection="1">
      <alignment vertical="center"/>
    </xf>
    <xf numFmtId="0" fontId="15" fillId="15" borderId="0" xfId="8" applyFont="1" applyFill="1" applyProtection="1">
      <alignment vertical="center"/>
    </xf>
    <xf numFmtId="11" fontId="15" fillId="15" borderId="34" xfId="8" applyNumberFormat="1" applyFont="1" applyFill="1" applyBorder="1" applyProtection="1">
      <alignment vertical="center"/>
    </xf>
    <xf numFmtId="0" fontId="15" fillId="0" borderId="0" xfId="8" applyFont="1" applyAlignment="1">
      <alignment horizontal="center" vertical="center"/>
    </xf>
    <xf numFmtId="166" fontId="15" fillId="0" borderId="0" xfId="8" applyNumberFormat="1" applyFont="1">
      <alignment vertical="center"/>
    </xf>
    <xf numFmtId="165" fontId="15" fillId="0" borderId="0" xfId="9" applyNumberFormat="1" applyFont="1">
      <alignment vertical="center"/>
    </xf>
    <xf numFmtId="2" fontId="15" fillId="0" borderId="0" xfId="8" applyNumberFormat="1" applyFont="1">
      <alignment vertical="center"/>
    </xf>
    <xf numFmtId="168" fontId="15" fillId="0" borderId="0" xfId="8" applyNumberFormat="1" applyFont="1">
      <alignment vertical="center"/>
    </xf>
    <xf numFmtId="0" fontId="18" fillId="9" borderId="0" xfId="0" applyFont="1" applyFill="1" applyBorder="1" applyAlignment="1" applyProtection="1">
      <alignment vertical="center" shrinkToFit="1"/>
      <protection hidden="1"/>
    </xf>
    <xf numFmtId="0" fontId="12" fillId="16" borderId="0" xfId="3" applyFont="1" applyFill="1" applyAlignment="1">
      <alignment vertical="center"/>
    </xf>
    <xf numFmtId="0" fontId="12" fillId="16" borderId="0" xfId="3" quotePrefix="1" applyFont="1" applyFill="1" applyAlignment="1">
      <alignment horizontal="right" vertical="center"/>
    </xf>
    <xf numFmtId="165" fontId="12" fillId="16" borderId="0" xfId="1" applyNumberFormat="1" applyFont="1" applyFill="1" applyAlignment="1">
      <alignment vertical="center"/>
    </xf>
    <xf numFmtId="0" fontId="12" fillId="16" borderId="0" xfId="3" applyFont="1" applyFill="1"/>
    <xf numFmtId="174" fontId="19" fillId="18" borderId="0" xfId="0" applyNumberFormat="1" applyFont="1" applyFill="1" applyBorder="1" applyAlignment="1">
      <alignment vertical="center"/>
    </xf>
    <xf numFmtId="174" fontId="19" fillId="9" borderId="0" xfId="0" applyNumberFormat="1" applyFont="1" applyFill="1" applyBorder="1" applyAlignment="1">
      <alignment vertical="center"/>
    </xf>
    <xf numFmtId="0" fontId="19" fillId="9" borderId="0" xfId="0" applyFont="1" applyFill="1" applyBorder="1" applyAlignment="1" applyProtection="1">
      <alignment horizontal="center" vertical="center" wrapText="1"/>
      <protection hidden="1"/>
    </xf>
    <xf numFmtId="0" fontId="19" fillId="18" borderId="0" xfId="0" applyFont="1" applyFill="1" applyBorder="1" applyAlignment="1" applyProtection="1">
      <alignment vertical="center" wrapText="1"/>
      <protection hidden="1"/>
    </xf>
    <xf numFmtId="0" fontId="19" fillId="9" borderId="0" xfId="0" applyFont="1" applyFill="1" applyBorder="1" applyAlignment="1" applyProtection="1">
      <alignment vertical="center"/>
      <protection hidden="1"/>
    </xf>
    <xf numFmtId="0" fontId="19" fillId="9" borderId="0" xfId="0" applyFont="1" applyFill="1" applyBorder="1" applyAlignment="1" applyProtection="1">
      <alignment horizontal="left" vertical="center"/>
      <protection hidden="1"/>
    </xf>
    <xf numFmtId="0" fontId="19" fillId="9" borderId="0" xfId="0" applyFont="1" applyFill="1" applyBorder="1" applyAlignment="1" applyProtection="1">
      <alignment horizontal="left" vertical="center" wrapText="1"/>
      <protection hidden="1"/>
    </xf>
    <xf numFmtId="0" fontId="19" fillId="9" borderId="0" xfId="0" applyFont="1" applyFill="1" applyBorder="1" applyAlignment="1">
      <alignment vertical="center"/>
    </xf>
    <xf numFmtId="0" fontId="19" fillId="9" borderId="0" xfId="0" applyFont="1" applyFill="1" applyBorder="1" applyAlignment="1" applyProtection="1">
      <alignment vertical="center" shrinkToFit="1"/>
      <protection hidden="1"/>
    </xf>
    <xf numFmtId="0" fontId="19" fillId="18" borderId="0" xfId="0" applyFont="1" applyFill="1" applyBorder="1" applyAlignment="1" applyProtection="1">
      <alignment vertical="center"/>
      <protection hidden="1"/>
    </xf>
    <xf numFmtId="0" fontId="19" fillId="18" borderId="0" xfId="0" applyFont="1" applyFill="1" applyBorder="1" applyAlignment="1">
      <alignment vertical="center"/>
    </xf>
    <xf numFmtId="165" fontId="19" fillId="9" borderId="0" xfId="1" applyNumberFormat="1" applyFont="1" applyFill="1" applyBorder="1" applyAlignment="1">
      <alignment vertical="center"/>
    </xf>
    <xf numFmtId="0" fontId="18" fillId="9" borderId="0" xfId="0" applyFont="1" applyFill="1" applyBorder="1" applyAlignment="1" applyProtection="1">
      <alignment vertical="center"/>
      <protection hidden="1"/>
    </xf>
    <xf numFmtId="0" fontId="19" fillId="9" borderId="0" xfId="0" applyFont="1" applyFill="1" applyBorder="1" applyAlignment="1" applyProtection="1">
      <alignment vertical="center" wrapText="1"/>
      <protection hidden="1"/>
    </xf>
    <xf numFmtId="0" fontId="19" fillId="11" borderId="31" xfId="0" applyFont="1" applyFill="1" applyBorder="1" applyAlignment="1" applyProtection="1">
      <alignment vertical="center"/>
      <protection hidden="1"/>
    </xf>
    <xf numFmtId="0" fontId="19" fillId="10" borderId="31" xfId="0" applyFont="1" applyFill="1" applyBorder="1" applyAlignment="1" applyProtection="1">
      <alignment vertical="center"/>
      <protection hidden="1"/>
    </xf>
    <xf numFmtId="1" fontId="19" fillId="9" borderId="31" xfId="0" applyNumberFormat="1" applyFont="1" applyFill="1" applyBorder="1" applyAlignment="1" applyProtection="1">
      <alignment vertical="center"/>
      <protection hidden="1"/>
    </xf>
    <xf numFmtId="166" fontId="19" fillId="9" borderId="31" xfId="0" applyNumberFormat="1" applyFont="1" applyFill="1" applyBorder="1" applyAlignment="1" applyProtection="1">
      <alignment vertical="center"/>
      <protection hidden="1"/>
    </xf>
    <xf numFmtId="0" fontId="19" fillId="13" borderId="31" xfId="0" applyFont="1" applyFill="1" applyBorder="1" applyAlignment="1" applyProtection="1">
      <alignment horizontal="center" vertical="center"/>
      <protection hidden="1"/>
    </xf>
    <xf numFmtId="0" fontId="19" fillId="12" borderId="31" xfId="0" applyFont="1" applyFill="1" applyBorder="1" applyAlignment="1" applyProtection="1">
      <alignment horizontal="center" vertical="center"/>
      <protection hidden="1"/>
    </xf>
    <xf numFmtId="0" fontId="19" fillId="14" borderId="31" xfId="0" applyFont="1" applyFill="1" applyBorder="1" applyAlignment="1" applyProtection="1">
      <alignment horizontal="center" vertical="center"/>
      <protection hidden="1"/>
    </xf>
    <xf numFmtId="0" fontId="19" fillId="14" borderId="31" xfId="0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center" vertical="center"/>
    </xf>
    <xf numFmtId="0" fontId="19" fillId="16" borderId="31" xfId="0" applyFont="1" applyFill="1" applyBorder="1" applyAlignment="1">
      <alignment horizontal="center" vertical="center"/>
    </xf>
    <xf numFmtId="0" fontId="19" fillId="15" borderId="31" xfId="0" applyFont="1" applyFill="1" applyBorder="1" applyAlignment="1" applyProtection="1">
      <alignment horizontal="center" vertical="center"/>
      <protection hidden="1"/>
    </xf>
    <xf numFmtId="0" fontId="19" fillId="16" borderId="31" xfId="0" applyFont="1" applyFill="1" applyBorder="1" applyAlignment="1">
      <alignment vertical="center"/>
    </xf>
    <xf numFmtId="165" fontId="19" fillId="9" borderId="0" xfId="1" applyNumberFormat="1" applyFont="1" applyFill="1" applyBorder="1" applyAlignment="1" applyProtection="1">
      <alignment vertical="center"/>
      <protection hidden="1"/>
    </xf>
    <xf numFmtId="1" fontId="19" fillId="0" borderId="31" xfId="0" applyNumberFormat="1" applyFont="1" applyFill="1" applyBorder="1" applyAlignment="1" applyProtection="1">
      <alignment horizontal="center" vertical="center"/>
      <protection hidden="1"/>
    </xf>
    <xf numFmtId="1" fontId="19" fillId="17" borderId="31" xfId="0" applyNumberFormat="1" applyFont="1" applyFill="1" applyBorder="1" applyAlignment="1" applyProtection="1">
      <alignment horizontal="center" vertical="center"/>
      <protection hidden="1"/>
    </xf>
    <xf numFmtId="1" fontId="19" fillId="9" borderId="31" xfId="0" applyNumberFormat="1" applyFont="1" applyFill="1" applyBorder="1" applyAlignment="1" applyProtection="1">
      <alignment horizontal="center" vertical="center"/>
      <protection hidden="1"/>
    </xf>
    <xf numFmtId="179" fontId="19" fillId="9" borderId="31" xfId="2" applyNumberFormat="1" applyFont="1" applyFill="1" applyBorder="1" applyAlignment="1" applyProtection="1">
      <alignment horizontal="center" vertical="center"/>
      <protection hidden="1"/>
    </xf>
    <xf numFmtId="172" fontId="19" fillId="9" borderId="31" xfId="0" applyNumberFormat="1" applyFont="1" applyFill="1" applyBorder="1" applyAlignment="1">
      <alignment horizontal="center" vertical="center"/>
    </xf>
    <xf numFmtId="173" fontId="19" fillId="17" borderId="31" xfId="0" applyNumberFormat="1" applyFont="1" applyFill="1" applyBorder="1" applyAlignment="1">
      <alignment horizontal="center" vertical="center"/>
    </xf>
    <xf numFmtId="173" fontId="19" fillId="0" borderId="31" xfId="0" applyNumberFormat="1" applyFont="1" applyFill="1" applyBorder="1" applyAlignment="1" applyProtection="1">
      <alignment horizontal="center" vertical="center"/>
      <protection hidden="1"/>
    </xf>
    <xf numFmtId="165" fontId="18" fillId="9" borderId="0" xfId="1" applyNumberFormat="1" applyFont="1" applyFill="1" applyBorder="1" applyAlignment="1">
      <alignment vertical="center"/>
    </xf>
    <xf numFmtId="173" fontId="19" fillId="9" borderId="31" xfId="0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172" fontId="19" fillId="17" borderId="31" xfId="0" applyNumberFormat="1" applyFont="1" applyFill="1" applyBorder="1" applyAlignment="1">
      <alignment horizontal="center" vertical="center"/>
    </xf>
    <xf numFmtId="172" fontId="19" fillId="0" borderId="31" xfId="0" applyNumberFormat="1" applyFont="1" applyFill="1" applyBorder="1" applyAlignment="1" applyProtection="1">
      <alignment horizontal="center" vertical="center"/>
      <protection hidden="1"/>
    </xf>
    <xf numFmtId="0" fontId="19" fillId="9" borderId="0" xfId="0" applyFont="1" applyFill="1" applyBorder="1" applyAlignment="1">
      <alignment horizontal="center" vertical="center"/>
    </xf>
    <xf numFmtId="176" fontId="19" fillId="9" borderId="0" xfId="1" applyNumberFormat="1" applyFont="1" applyFill="1" applyBorder="1" applyAlignment="1" applyProtection="1">
      <alignment vertical="center"/>
      <protection hidden="1"/>
    </xf>
    <xf numFmtId="9" fontId="19" fillId="9" borderId="0" xfId="1" applyFont="1" applyFill="1" applyBorder="1" applyAlignment="1" applyProtection="1">
      <alignment vertical="center"/>
      <protection hidden="1"/>
    </xf>
    <xf numFmtId="176" fontId="19" fillId="9" borderId="0" xfId="0" applyNumberFormat="1" applyFont="1" applyFill="1" applyBorder="1" applyAlignment="1" applyProtection="1">
      <alignment vertical="center"/>
      <protection hidden="1"/>
    </xf>
    <xf numFmtId="178" fontId="19" fillId="9" borderId="0" xfId="0" applyNumberFormat="1" applyFont="1" applyFill="1" applyBorder="1" applyAlignment="1" applyProtection="1">
      <alignment vertical="center"/>
      <protection hidden="1"/>
    </xf>
    <xf numFmtId="0" fontId="19" fillId="9" borderId="0" xfId="0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9" fontId="19" fillId="9" borderId="0" xfId="0" applyNumberFormat="1" applyFont="1" applyFill="1" applyBorder="1" applyAlignment="1" applyProtection="1">
      <alignment horizontal="center" vertical="center"/>
      <protection hidden="1"/>
    </xf>
    <xf numFmtId="9" fontId="19" fillId="9" borderId="0" xfId="0" applyNumberFormat="1" applyFont="1" applyFill="1" applyBorder="1" applyAlignment="1">
      <alignment horizontal="center" vertical="center"/>
    </xf>
    <xf numFmtId="2" fontId="19" fillId="18" borderId="0" xfId="0" applyNumberFormat="1" applyFont="1" applyFill="1" applyBorder="1" applyAlignment="1" applyProtection="1">
      <alignment vertical="center"/>
      <protection hidden="1"/>
    </xf>
    <xf numFmtId="167" fontId="19" fillId="9" borderId="0" xfId="0" applyNumberFormat="1" applyFont="1" applyFill="1" applyBorder="1" applyAlignment="1" applyProtection="1">
      <alignment vertical="center"/>
      <protection hidden="1"/>
    </xf>
    <xf numFmtId="9" fontId="19" fillId="9" borderId="0" xfId="0" applyNumberFormat="1" applyFont="1" applyFill="1" applyBorder="1" applyAlignment="1" applyProtection="1">
      <alignment vertical="center"/>
      <protection hidden="1"/>
    </xf>
    <xf numFmtId="170" fontId="18" fillId="9" borderId="0" xfId="0" applyNumberFormat="1" applyFont="1" applyFill="1" applyBorder="1" applyAlignment="1">
      <alignment vertical="center"/>
    </xf>
    <xf numFmtId="9" fontId="18" fillId="9" borderId="0" xfId="1" applyNumberFormat="1" applyFont="1" applyFill="1" applyBorder="1" applyAlignment="1" applyProtection="1">
      <alignment vertical="center"/>
      <protection hidden="1"/>
    </xf>
    <xf numFmtId="177" fontId="19" fillId="9" borderId="0" xfId="0" applyNumberFormat="1" applyFont="1" applyFill="1" applyBorder="1" applyAlignment="1">
      <alignment vertical="center"/>
    </xf>
    <xf numFmtId="38" fontId="21" fillId="9" borderId="0" xfId="0" applyNumberFormat="1" applyFont="1" applyFill="1" applyBorder="1" applyAlignment="1" applyProtection="1">
      <alignment vertical="center"/>
      <protection hidden="1"/>
    </xf>
    <xf numFmtId="166" fontId="19" fillId="9" borderId="0" xfId="0" applyNumberFormat="1" applyFont="1" applyFill="1" applyBorder="1" applyAlignment="1" applyProtection="1">
      <alignment vertical="center"/>
      <protection hidden="1"/>
    </xf>
    <xf numFmtId="1" fontId="21" fillId="9" borderId="0" xfId="0" applyNumberFormat="1" applyFont="1" applyFill="1" applyBorder="1" applyAlignment="1" applyProtection="1">
      <alignment vertical="center"/>
      <protection hidden="1"/>
    </xf>
    <xf numFmtId="0" fontId="19" fillId="9" borderId="0" xfId="0" applyFont="1" applyFill="1" applyBorder="1" applyAlignment="1" applyProtection="1">
      <alignment horizontal="right" vertical="center"/>
      <protection hidden="1"/>
    </xf>
    <xf numFmtId="169" fontId="19" fillId="9" borderId="0" xfId="1" applyNumberFormat="1" applyFont="1" applyFill="1" applyBorder="1" applyAlignment="1" applyProtection="1">
      <alignment vertical="center"/>
      <protection hidden="1"/>
    </xf>
    <xf numFmtId="0" fontId="18" fillId="9" borderId="0" xfId="0" applyFont="1" applyFill="1" applyBorder="1" applyAlignment="1" applyProtection="1">
      <alignment horizontal="center" vertical="center"/>
      <protection hidden="1"/>
    </xf>
    <xf numFmtId="0" fontId="19" fillId="8" borderId="0" xfId="0" applyFont="1" applyFill="1" applyBorder="1" applyAlignment="1" applyProtection="1">
      <alignment horizontal="center" vertical="center"/>
      <protection hidden="1"/>
    </xf>
    <xf numFmtId="0" fontId="18" fillId="9" borderId="0" xfId="0" applyFont="1" applyFill="1" applyBorder="1" applyAlignment="1" applyProtection="1">
      <alignment horizontal="center" vertical="center" shrinkToFit="1"/>
      <protection hidden="1"/>
    </xf>
    <xf numFmtId="1" fontId="19" fillId="9" borderId="0" xfId="0" applyNumberFormat="1" applyFont="1" applyFill="1" applyBorder="1" applyAlignment="1" applyProtection="1">
      <alignment vertical="center"/>
      <protection hidden="1"/>
    </xf>
    <xf numFmtId="1" fontId="18" fillId="9" borderId="0" xfId="0" applyNumberFormat="1" applyFont="1" applyFill="1" applyBorder="1" applyAlignment="1" applyProtection="1">
      <alignment vertical="center"/>
      <protection hidden="1"/>
    </xf>
    <xf numFmtId="170" fontId="19" fillId="9" borderId="0" xfId="1" applyNumberFormat="1" applyFont="1" applyFill="1" applyBorder="1" applyAlignment="1" applyProtection="1">
      <alignment vertical="center"/>
      <protection hidden="1"/>
    </xf>
    <xf numFmtId="170" fontId="19" fillId="8" borderId="0" xfId="1" applyNumberFormat="1" applyFont="1" applyFill="1" applyBorder="1" applyAlignment="1" applyProtection="1">
      <alignment vertical="center"/>
      <protection hidden="1"/>
    </xf>
    <xf numFmtId="170" fontId="18" fillId="9" borderId="0" xfId="1" applyNumberFormat="1" applyFont="1" applyFill="1" applyBorder="1" applyAlignment="1" applyProtection="1">
      <alignment vertical="center"/>
      <protection hidden="1"/>
    </xf>
    <xf numFmtId="166" fontId="18" fillId="9" borderId="0" xfId="0" applyNumberFormat="1" applyFont="1" applyFill="1" applyBorder="1" applyAlignment="1" applyProtection="1">
      <alignment vertical="center"/>
      <protection hidden="1"/>
    </xf>
    <xf numFmtId="175" fontId="19" fillId="9" borderId="0" xfId="0" applyNumberFormat="1" applyFont="1" applyFill="1" applyBorder="1" applyAlignment="1">
      <alignment vertical="center"/>
    </xf>
    <xf numFmtId="167" fontId="22" fillId="9" borderId="0" xfId="0" applyNumberFormat="1" applyFont="1" applyFill="1" applyBorder="1" applyAlignment="1" applyProtection="1">
      <alignment vertical="center"/>
      <protection hidden="1"/>
    </xf>
    <xf numFmtId="9" fontId="22" fillId="9" borderId="0" xfId="0" applyNumberFormat="1" applyFont="1" applyFill="1" applyBorder="1" applyAlignment="1" applyProtection="1">
      <alignment vertical="center"/>
      <protection hidden="1"/>
    </xf>
    <xf numFmtId="166" fontId="22" fillId="9" borderId="0" xfId="0" applyNumberFormat="1" applyFont="1" applyFill="1" applyBorder="1" applyAlignment="1" applyProtection="1">
      <alignment vertical="center"/>
      <protection hidden="1"/>
    </xf>
    <xf numFmtId="165" fontId="18" fillId="9" borderId="0" xfId="1" applyNumberFormat="1" applyFont="1" applyFill="1" applyBorder="1" applyAlignment="1" applyProtection="1">
      <alignment vertical="center"/>
      <protection hidden="1"/>
    </xf>
    <xf numFmtId="1" fontId="19" fillId="0" borderId="0" xfId="0" applyNumberFormat="1" applyFont="1" applyFill="1" applyBorder="1" applyAlignment="1" applyProtection="1">
      <alignment vertical="center"/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165" fontId="19" fillId="9" borderId="0" xfId="0" applyNumberFormat="1" applyFont="1" applyFill="1" applyBorder="1" applyAlignment="1" applyProtection="1">
      <alignment vertical="center"/>
      <protection hidden="1"/>
    </xf>
    <xf numFmtId="0" fontId="21" fillId="9" borderId="0" xfId="0" applyFont="1" applyFill="1" applyBorder="1" applyAlignment="1" applyProtection="1">
      <alignment vertical="center"/>
      <protection hidden="1"/>
    </xf>
    <xf numFmtId="168" fontId="21" fillId="9" borderId="0" xfId="0" applyNumberFormat="1" applyFont="1" applyFill="1" applyBorder="1" applyAlignment="1" applyProtection="1">
      <alignment vertical="center"/>
      <protection hidden="1"/>
    </xf>
    <xf numFmtId="172" fontId="18" fillId="9" borderId="0" xfId="0" applyNumberFormat="1" applyFont="1" applyFill="1" applyBorder="1" applyAlignment="1">
      <alignment vertical="center"/>
    </xf>
    <xf numFmtId="168" fontId="18" fillId="9" borderId="0" xfId="0" applyNumberFormat="1" applyFont="1" applyFill="1" applyBorder="1" applyAlignment="1" applyProtection="1">
      <alignment vertical="center"/>
      <protection hidden="1"/>
    </xf>
    <xf numFmtId="40" fontId="19" fillId="8" borderId="0" xfId="2" applyNumberFormat="1" applyFont="1" applyFill="1" applyBorder="1" applyProtection="1">
      <protection hidden="1"/>
    </xf>
    <xf numFmtId="2" fontId="19" fillId="9" borderId="0" xfId="0" applyNumberFormat="1" applyFont="1" applyFill="1" applyBorder="1" applyAlignment="1" applyProtection="1">
      <alignment vertical="center"/>
      <protection hidden="1"/>
    </xf>
    <xf numFmtId="0" fontId="19" fillId="9" borderId="31" xfId="0" applyFont="1" applyFill="1" applyBorder="1" applyAlignment="1" applyProtection="1">
      <alignment horizontal="center" vertical="center"/>
      <protection hidden="1"/>
    </xf>
    <xf numFmtId="2" fontId="19" fillId="9" borderId="31" xfId="0" applyNumberFormat="1" applyFont="1" applyFill="1" applyBorder="1" applyAlignment="1" applyProtection="1">
      <alignment vertical="center"/>
      <protection hidden="1"/>
    </xf>
    <xf numFmtId="2" fontId="19" fillId="0" borderId="31" xfId="0" applyNumberFormat="1" applyFont="1" applyFill="1" applyBorder="1" applyAlignment="1" applyProtection="1">
      <alignment vertical="center"/>
      <protection hidden="1"/>
    </xf>
    <xf numFmtId="10" fontId="19" fillId="9" borderId="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166" fontId="19" fillId="18" borderId="0" xfId="0" applyNumberFormat="1" applyFont="1" applyFill="1" applyBorder="1" applyAlignment="1" applyProtection="1">
      <alignment vertical="center"/>
      <protection hidden="1"/>
    </xf>
    <xf numFmtId="180" fontId="15" fillId="0" borderId="0" xfId="8" applyNumberFormat="1" applyFont="1">
      <alignment vertical="center"/>
    </xf>
    <xf numFmtId="1" fontId="15" fillId="0" borderId="0" xfId="8" applyNumberFormat="1" applyFont="1">
      <alignment vertical="center"/>
    </xf>
    <xf numFmtId="171" fontId="8" fillId="8" borderId="13" xfId="0" applyNumberFormat="1" applyFont="1" applyFill="1" applyBorder="1" applyAlignment="1" applyProtection="1">
      <alignment horizontal="right" vertical="center"/>
      <protection hidden="1"/>
    </xf>
    <xf numFmtId="171" fontId="8" fillId="8" borderId="10" xfId="0" applyNumberFormat="1" applyFont="1" applyFill="1" applyBorder="1" applyAlignment="1" applyProtection="1">
      <alignment horizontal="right" vertical="center"/>
      <protection hidden="1"/>
    </xf>
    <xf numFmtId="171" fontId="8" fillId="19" borderId="13" xfId="0" applyNumberFormat="1" applyFont="1" applyFill="1" applyBorder="1" applyAlignment="1" applyProtection="1">
      <alignment horizontal="right" vertical="center"/>
      <protection hidden="1"/>
    </xf>
    <xf numFmtId="171" fontId="8" fillId="19" borderId="10" xfId="0" applyNumberFormat="1" applyFont="1" applyFill="1" applyBorder="1" applyAlignment="1" applyProtection="1">
      <alignment horizontal="right" vertical="center"/>
      <protection hidden="1"/>
    </xf>
    <xf numFmtId="171" fontId="8" fillId="3" borderId="13" xfId="0" applyNumberFormat="1" applyFont="1" applyFill="1" applyBorder="1" applyAlignment="1" applyProtection="1">
      <alignment horizontal="right" vertical="center"/>
      <protection hidden="1"/>
    </xf>
    <xf numFmtId="171" fontId="8" fillId="3" borderId="10" xfId="0" applyNumberFormat="1" applyFont="1" applyFill="1" applyBorder="1" applyAlignment="1" applyProtection="1">
      <alignment horizontal="right" vertical="center"/>
      <protection hidden="1"/>
    </xf>
    <xf numFmtId="171" fontId="8" fillId="8" borderId="28" xfId="0" applyNumberFormat="1" applyFont="1" applyFill="1" applyBorder="1" applyAlignment="1" applyProtection="1">
      <alignment horizontal="right" vertical="center"/>
      <protection hidden="1"/>
    </xf>
    <xf numFmtId="171" fontId="8" fillId="8" borderId="27" xfId="0" applyNumberFormat="1" applyFont="1" applyFill="1" applyBorder="1" applyAlignment="1" applyProtection="1">
      <alignment horizontal="right" vertical="center"/>
      <protection hidden="1"/>
    </xf>
    <xf numFmtId="0" fontId="10" fillId="6" borderId="15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23" xfId="0" applyFont="1" applyFill="1" applyBorder="1" applyAlignment="1" applyProtection="1">
      <alignment horizontal="center" vertical="center"/>
      <protection hidden="1"/>
    </xf>
    <xf numFmtId="0" fontId="5" fillId="5" borderId="14" xfId="0" applyFont="1" applyFill="1" applyBorder="1" applyAlignment="1" applyProtection="1">
      <alignment horizontal="center" vertical="center"/>
      <protection hidden="1"/>
    </xf>
    <xf numFmtId="0" fontId="10" fillId="6" borderId="25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8" borderId="20" xfId="0" applyFont="1" applyFill="1" applyBorder="1" applyAlignment="1" applyProtection="1">
      <alignment horizontal="center" vertical="center"/>
      <protection hidden="1"/>
    </xf>
    <xf numFmtId="0" fontId="6" fillId="8" borderId="2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5" fillId="19" borderId="20" xfId="0" applyFont="1" applyFill="1" applyBorder="1" applyAlignment="1" applyProtection="1">
      <alignment horizontal="center" vertical="center"/>
      <protection hidden="1"/>
    </xf>
    <xf numFmtId="0" fontId="6" fillId="19" borderId="2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23" xfId="0" applyBorder="1"/>
    <xf numFmtId="0" fontId="0" fillId="0" borderId="14" xfId="0" applyBorder="1"/>
    <xf numFmtId="0" fontId="5" fillId="7" borderId="20" xfId="0" applyFont="1" applyFill="1" applyBorder="1" applyAlignment="1" applyProtection="1">
      <alignment horizontal="center" vertical="center"/>
      <protection hidden="1"/>
    </xf>
    <xf numFmtId="0" fontId="5" fillId="7" borderId="23" xfId="0" applyFont="1" applyFill="1" applyBorder="1" applyAlignment="1" applyProtection="1">
      <alignment horizontal="center" vertical="center"/>
      <protection hidden="1"/>
    </xf>
    <xf numFmtId="0" fontId="5" fillId="7" borderId="14" xfId="0" applyFont="1" applyFill="1" applyBorder="1" applyAlignment="1" applyProtection="1">
      <alignment horizontal="center" vertical="center"/>
      <protection hidden="1"/>
    </xf>
    <xf numFmtId="0" fontId="6" fillId="7" borderId="2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173" fontId="8" fillId="3" borderId="20" xfId="2" applyNumberFormat="1" applyFont="1" applyFill="1" applyBorder="1" applyAlignment="1" applyProtection="1">
      <alignment horizontal="right" vertical="center"/>
      <protection hidden="1"/>
    </xf>
    <xf numFmtId="173" fontId="8" fillId="3" borderId="10" xfId="2" applyNumberFormat="1" applyFont="1" applyFill="1" applyBorder="1" applyAlignment="1" applyProtection="1">
      <alignment horizontal="right" vertical="center"/>
      <protection hidden="1"/>
    </xf>
    <xf numFmtId="173" fontId="8" fillId="7" borderId="20" xfId="2" applyNumberFormat="1" applyFont="1" applyFill="1" applyBorder="1" applyAlignment="1" applyProtection="1">
      <alignment horizontal="right" vertical="center"/>
      <protection hidden="1"/>
    </xf>
    <xf numFmtId="173" fontId="8" fillId="7" borderId="10" xfId="2" applyNumberFormat="1" applyFont="1" applyFill="1" applyBorder="1" applyAlignment="1" applyProtection="1">
      <alignment horizontal="right" vertical="center"/>
      <protection hidden="1"/>
    </xf>
    <xf numFmtId="0" fontId="10" fillId="6" borderId="22" xfId="0" applyFont="1" applyFill="1" applyBorder="1" applyAlignment="1" applyProtection="1">
      <alignment horizontal="center" vertical="center"/>
      <protection hidden="1"/>
    </xf>
    <xf numFmtId="173" fontId="8" fillId="8" borderId="20" xfId="2" applyNumberFormat="1" applyFont="1" applyFill="1" applyBorder="1" applyAlignment="1" applyProtection="1">
      <alignment horizontal="right" vertical="center"/>
      <protection hidden="1"/>
    </xf>
    <xf numFmtId="173" fontId="8" fillId="8" borderId="10" xfId="2" applyNumberFormat="1" applyFont="1" applyFill="1" applyBorder="1" applyAlignment="1" applyProtection="1">
      <alignment horizontal="right" vertical="center"/>
      <protection hidden="1"/>
    </xf>
    <xf numFmtId="173" fontId="8" fillId="19" borderId="20" xfId="2" applyNumberFormat="1" applyFont="1" applyFill="1" applyBorder="1" applyAlignment="1" applyProtection="1">
      <alignment horizontal="right" vertical="center"/>
      <protection hidden="1"/>
    </xf>
    <xf numFmtId="173" fontId="8" fillId="19" borderId="10" xfId="2" applyNumberFormat="1" applyFont="1" applyFill="1" applyBorder="1" applyAlignment="1" applyProtection="1">
      <alignment horizontal="right" vertical="center"/>
      <protection hidden="1"/>
    </xf>
    <xf numFmtId="173" fontId="8" fillId="8" borderId="30" xfId="2" applyNumberFormat="1" applyFont="1" applyFill="1" applyBorder="1" applyAlignment="1" applyProtection="1">
      <alignment horizontal="right" vertical="center"/>
      <protection hidden="1"/>
    </xf>
    <xf numFmtId="173" fontId="8" fillId="8" borderId="27" xfId="2" applyNumberFormat="1" applyFont="1" applyFill="1" applyBorder="1" applyAlignment="1" applyProtection="1">
      <alignment horizontal="right" vertical="center"/>
      <protection hidden="1"/>
    </xf>
    <xf numFmtId="171" fontId="8" fillId="5" borderId="13" xfId="0" applyNumberFormat="1" applyFont="1" applyFill="1" applyBorder="1" applyAlignment="1" applyProtection="1">
      <alignment horizontal="right" vertical="center"/>
      <protection hidden="1"/>
    </xf>
    <xf numFmtId="171" fontId="8" fillId="5" borderId="10" xfId="0" applyNumberFormat="1" applyFont="1" applyFill="1" applyBorder="1" applyAlignment="1" applyProtection="1">
      <alignment horizontal="right" vertical="center"/>
      <protection hidden="1"/>
    </xf>
    <xf numFmtId="171" fontId="8" fillId="7" borderId="13" xfId="0" applyNumberFormat="1" applyFont="1" applyFill="1" applyBorder="1" applyAlignment="1" applyProtection="1">
      <alignment horizontal="right" vertical="center"/>
      <protection hidden="1"/>
    </xf>
    <xf numFmtId="171" fontId="8" fillId="7" borderId="10" xfId="0" applyNumberFormat="1" applyFont="1" applyFill="1" applyBorder="1" applyAlignment="1" applyProtection="1">
      <alignment horizontal="right" vertical="center"/>
      <protection hidden="1"/>
    </xf>
    <xf numFmtId="173" fontId="8" fillId="5" borderId="20" xfId="2" applyNumberFormat="1" applyFont="1" applyFill="1" applyBorder="1" applyAlignment="1" applyProtection="1">
      <alignment horizontal="right" vertical="center"/>
      <protection hidden="1"/>
    </xf>
    <xf numFmtId="173" fontId="8" fillId="5" borderId="10" xfId="2" applyNumberFormat="1" applyFont="1" applyFill="1" applyBorder="1" applyAlignment="1" applyProtection="1">
      <alignment horizontal="right" vertical="center"/>
      <protection hidden="1"/>
    </xf>
    <xf numFmtId="173" fontId="8" fillId="7" borderId="13" xfId="0" applyNumberFormat="1" applyFont="1" applyFill="1" applyBorder="1" applyAlignment="1" applyProtection="1">
      <alignment horizontal="right" vertical="center"/>
      <protection hidden="1"/>
    </xf>
    <xf numFmtId="173" fontId="8" fillId="7" borderId="10" xfId="0" applyNumberFormat="1" applyFont="1" applyFill="1" applyBorder="1" applyAlignment="1" applyProtection="1">
      <alignment horizontal="right" vertical="center"/>
      <protection hidden="1"/>
    </xf>
    <xf numFmtId="173" fontId="8" fillId="8" borderId="13" xfId="0" applyNumberFormat="1" applyFont="1" applyFill="1" applyBorder="1" applyAlignment="1" applyProtection="1">
      <alignment horizontal="right" vertical="center"/>
      <protection hidden="1"/>
    </xf>
    <xf numFmtId="173" fontId="9" fillId="8" borderId="10" xfId="0" applyNumberFormat="1" applyFont="1" applyFill="1" applyBorder="1" applyAlignment="1">
      <alignment vertical="center"/>
    </xf>
    <xf numFmtId="173" fontId="8" fillId="8" borderId="28" xfId="0" applyNumberFormat="1" applyFont="1" applyFill="1" applyBorder="1" applyAlignment="1" applyProtection="1">
      <alignment horizontal="right" vertical="center"/>
      <protection hidden="1"/>
    </xf>
    <xf numFmtId="173" fontId="9" fillId="8" borderId="27" xfId="0" applyNumberFormat="1" applyFont="1" applyFill="1" applyBorder="1" applyAlignment="1">
      <alignment vertical="center"/>
    </xf>
    <xf numFmtId="173" fontId="8" fillId="3" borderId="13" xfId="0" applyNumberFormat="1" applyFont="1" applyFill="1" applyBorder="1" applyAlignment="1" applyProtection="1">
      <alignment horizontal="right" vertical="center"/>
      <protection hidden="1"/>
    </xf>
    <xf numFmtId="173" fontId="9" fillId="0" borderId="10" xfId="0" applyNumberFormat="1" applyFont="1" applyBorder="1" applyAlignment="1">
      <alignment vertical="center"/>
    </xf>
    <xf numFmtId="0" fontId="5" fillId="5" borderId="21" xfId="0" applyFont="1" applyFill="1" applyBorder="1" applyAlignment="1" applyProtection="1">
      <alignment horizontal="center" vertical="center"/>
      <protection hidden="1"/>
    </xf>
    <xf numFmtId="0" fontId="5" fillId="5" borderId="24" xfId="0" applyFont="1" applyFill="1" applyBorder="1" applyAlignment="1" applyProtection="1">
      <alignment horizontal="center" vertical="center"/>
      <protection hidden="1"/>
    </xf>
    <xf numFmtId="0" fontId="5" fillId="5" borderId="18" xfId="0" applyFont="1" applyFill="1" applyBorder="1" applyAlignment="1" applyProtection="1">
      <alignment horizontal="center" vertical="center"/>
      <protection hidden="1"/>
    </xf>
    <xf numFmtId="173" fontId="8" fillId="5" borderId="21" xfId="2" applyNumberFormat="1" applyFont="1" applyFill="1" applyBorder="1" applyAlignment="1" applyProtection="1">
      <alignment horizontal="right" vertical="center"/>
      <protection hidden="1"/>
    </xf>
    <xf numFmtId="173" fontId="8" fillId="5" borderId="19" xfId="2" applyNumberFormat="1" applyFont="1" applyFill="1" applyBorder="1" applyAlignment="1" applyProtection="1">
      <alignment horizontal="right" vertical="center"/>
      <protection hidden="1"/>
    </xf>
    <xf numFmtId="171" fontId="8" fillId="5" borderId="17" xfId="0" applyNumberFormat="1" applyFont="1" applyFill="1" applyBorder="1" applyAlignment="1" applyProtection="1">
      <alignment horizontal="right" vertical="center"/>
      <protection hidden="1"/>
    </xf>
    <xf numFmtId="171" fontId="8" fillId="5" borderId="19" xfId="0" applyNumberFormat="1" applyFont="1" applyFill="1" applyBorder="1" applyAlignment="1" applyProtection="1">
      <alignment horizontal="right" vertical="center"/>
      <protection hidden="1"/>
    </xf>
    <xf numFmtId="173" fontId="8" fillId="5" borderId="17" xfId="0" applyNumberFormat="1" applyFont="1" applyFill="1" applyBorder="1" applyAlignment="1" applyProtection="1">
      <alignment horizontal="right" vertical="center"/>
      <protection hidden="1"/>
    </xf>
    <xf numFmtId="173" fontId="9" fillId="0" borderId="19" xfId="0" applyNumberFormat="1" applyFont="1" applyBorder="1" applyAlignment="1">
      <alignment vertical="center"/>
    </xf>
    <xf numFmtId="173" fontId="8" fillId="5" borderId="18" xfId="0" applyNumberFormat="1" applyFont="1" applyFill="1" applyBorder="1" applyAlignment="1" applyProtection="1">
      <alignment horizontal="right" vertical="center"/>
      <protection hidden="1"/>
    </xf>
    <xf numFmtId="173" fontId="8" fillId="7" borderId="14" xfId="0" applyNumberFormat="1" applyFont="1" applyFill="1" applyBorder="1" applyAlignment="1" applyProtection="1">
      <alignment horizontal="right" vertical="center"/>
      <protection hidden="1"/>
    </xf>
    <xf numFmtId="173" fontId="8" fillId="5" borderId="13" xfId="0" applyNumberFormat="1" applyFont="1" applyFill="1" applyBorder="1" applyAlignment="1" applyProtection="1">
      <alignment horizontal="right" vertical="center"/>
      <protection hidden="1"/>
    </xf>
    <xf numFmtId="173" fontId="8" fillId="5" borderId="14" xfId="0" applyNumberFormat="1" applyFont="1" applyFill="1" applyBorder="1" applyAlignment="1" applyProtection="1">
      <alignment horizontal="right" vertical="center"/>
      <protection hidden="1"/>
    </xf>
    <xf numFmtId="173" fontId="8" fillId="19" borderId="13" xfId="0" applyNumberFormat="1" applyFont="1" applyFill="1" applyBorder="1" applyAlignment="1" applyProtection="1">
      <alignment horizontal="right" vertical="center"/>
      <protection hidden="1"/>
    </xf>
    <xf numFmtId="173" fontId="8" fillId="19" borderId="14" xfId="0" applyNumberFormat="1" applyFont="1" applyFill="1" applyBorder="1" applyAlignment="1" applyProtection="1">
      <alignment horizontal="right" vertical="center"/>
      <protection hidden="1"/>
    </xf>
    <xf numFmtId="173" fontId="8" fillId="3" borderId="14" xfId="0" applyNumberFormat="1" applyFont="1" applyFill="1" applyBorder="1" applyAlignment="1" applyProtection="1">
      <alignment horizontal="right" vertical="center"/>
      <protection hidden="1"/>
    </xf>
    <xf numFmtId="172" fontId="5" fillId="3" borderId="3" xfId="0" applyNumberFormat="1" applyFont="1" applyFill="1" applyBorder="1" applyAlignment="1" applyProtection="1">
      <alignment vertical="center"/>
      <protection locked="0"/>
    </xf>
    <xf numFmtId="172" fontId="6" fillId="0" borderId="9" xfId="0" applyNumberFormat="1" applyFont="1" applyBorder="1" applyAlignme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/>
    <xf numFmtId="173" fontId="9" fillId="7" borderId="10" xfId="0" applyNumberFormat="1" applyFont="1" applyFill="1" applyBorder="1" applyAlignment="1">
      <alignment vertical="center"/>
    </xf>
    <xf numFmtId="173" fontId="9" fillId="19" borderId="10" xfId="0" applyNumberFormat="1" applyFont="1" applyFill="1" applyBorder="1" applyAlignment="1">
      <alignment vertical="center"/>
    </xf>
    <xf numFmtId="0" fontId="10" fillId="6" borderId="16" xfId="0" applyFont="1" applyFill="1" applyBorder="1" applyAlignment="1" applyProtection="1">
      <alignment horizontal="center" vertical="center"/>
      <protection hidden="1"/>
    </xf>
    <xf numFmtId="173" fontId="8" fillId="8" borderId="14" xfId="0" applyNumberFormat="1" applyFont="1" applyFill="1" applyBorder="1" applyAlignment="1" applyProtection="1">
      <alignment horizontal="right" vertical="center"/>
      <protection hidden="1"/>
    </xf>
    <xf numFmtId="173" fontId="8" fillId="8" borderId="29" xfId="0" applyNumberFormat="1" applyFont="1" applyFill="1" applyBorder="1" applyAlignment="1" applyProtection="1">
      <alignment horizontal="right" vertical="center"/>
      <protection hidden="1"/>
    </xf>
    <xf numFmtId="0" fontId="6" fillId="0" borderId="15" xfId="0" applyFont="1" applyBorder="1" applyAlignment="1">
      <alignment vertical="center"/>
    </xf>
    <xf numFmtId="0" fontId="18" fillId="9" borderId="0" xfId="0" applyFont="1" applyFill="1" applyBorder="1" applyAlignment="1">
      <alignment horizontal="center" vertical="center"/>
    </xf>
  </cellXfs>
  <cellStyles count="11">
    <cellStyle name="Comma [0]" xfId="2" builtinId="6"/>
    <cellStyle name="Normal" xfId="0" builtinId="0"/>
    <cellStyle name="Percent" xfId="1" builtinId="5"/>
    <cellStyle name="パーセント 2" xfId="6"/>
    <cellStyle name="パーセント 3" xfId="9"/>
    <cellStyle name="桁区切り 2" xfId="7"/>
    <cellStyle name="桁区切り 3" xfId="10"/>
    <cellStyle name="標準 2" xfId="5"/>
    <cellStyle name="標準 3" xfId="3"/>
    <cellStyle name="標準 4" xfId="4"/>
    <cellStyle name="標準 5" xfId="8"/>
  </cellStyles>
  <dxfs count="10">
    <dxf>
      <font>
        <condense val="0"/>
        <extend val="0"/>
        <color indexed="14"/>
      </font>
      <fill>
        <patternFill>
          <bgColor indexed="22"/>
        </patternFill>
      </fill>
    </dxf>
    <dxf>
      <font>
        <condense val="0"/>
        <extend val="0"/>
        <color indexed="14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 patternType="mediumGray">
          <fgColor indexed="64"/>
          <bgColor indexed="23"/>
        </patternFill>
      </fill>
    </dxf>
    <dxf>
      <font>
        <b/>
        <i val="0"/>
        <condense val="0"/>
        <extend val="0"/>
        <color indexed="10"/>
      </font>
      <fill>
        <patternFill patternType="mediumGray">
          <bgColor indexed="23"/>
        </patternFill>
      </fill>
    </dxf>
    <dxf>
      <font>
        <condense val="0"/>
        <extend val="0"/>
        <color indexed="10"/>
      </font>
      <fill>
        <patternFill patternType="mediumGray">
          <bgColor indexed="23"/>
        </patternFill>
      </fill>
    </dxf>
    <dxf>
      <font>
        <b/>
        <i val="0"/>
        <condense val="0"/>
        <extend val="0"/>
        <color indexed="10"/>
      </font>
      <fill>
        <patternFill patternType="mediumGray">
          <bgColor indexed="23"/>
        </patternFill>
      </fill>
    </dxf>
    <dxf>
      <font>
        <b/>
        <i val="0"/>
        <strike/>
        <condense val="0"/>
        <extend val="0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mediumGray">
          <bgColor indexed="23"/>
        </patternFill>
      </fill>
    </dxf>
    <dxf>
      <font>
        <b/>
        <i val="0"/>
        <condense val="0"/>
        <extend val="0"/>
        <color indexed="10"/>
      </font>
      <fill>
        <patternFill patternType="mediumGray">
          <fgColor indexed="64"/>
          <bgColor indexed="23"/>
        </patternFill>
      </fill>
    </dxf>
  </dxfs>
  <tableStyles count="0" defaultTableStyle="TableStyleMedium2" defaultPivotStyle="PivotStyleLight16"/>
  <colors>
    <mruColors>
      <color rgb="FFFFFF99"/>
      <color rgb="FFCCFFFF"/>
      <color rgb="FF99FF99"/>
      <color rgb="FF99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9" dropStyle="combo" dx="16" fmlaLink="$C$6" fmlaRange="Calculation!$L$2:$L$22" sel="6" val="2"/>
</file>

<file path=xl/ctrlProps/ctrlProp2.xml><?xml version="1.0" encoding="utf-8"?>
<formControlPr xmlns="http://schemas.microsoft.com/office/spreadsheetml/2009/9/main" objectType="Drop" dropLines="2" dropStyle="combo" dx="16" fmlaLink="$E$6" fmlaRange="Calculation!$B$27:$B$2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200025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4</xdr:row>
          <xdr:rowOff>200025</xdr:rowOff>
        </xdr:from>
        <xdr:to>
          <xdr:col>5</xdr:col>
          <xdr:colOff>495300</xdr:colOff>
          <xdr:row>6</xdr:row>
          <xdr:rowOff>9525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47625</xdr:colOff>
      <xdr:row>0</xdr:row>
      <xdr:rowOff>66675</xdr:rowOff>
    </xdr:from>
    <xdr:to>
      <xdr:col>3</xdr:col>
      <xdr:colOff>247650</xdr:colOff>
      <xdr:row>2</xdr:row>
      <xdr:rowOff>142875</xdr:rowOff>
    </xdr:to>
    <xdr:pic>
      <xdr:nvPicPr>
        <xdr:cNvPr id="1060" name="Picture 36" descr="D:\Documents and Settings\ko-fksw\デスクトップ\新HWシミュレーター\Logo\CITILED_T.L.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2085975" cy="495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969696" mc:Ignorable="a14" a14:legacySpreadsheetColorIndex="55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390525</xdr:colOff>
      <xdr:row>0</xdr:row>
      <xdr:rowOff>126999</xdr:rowOff>
    </xdr:from>
    <xdr:to>
      <xdr:col>12</xdr:col>
      <xdr:colOff>466725</xdr:colOff>
      <xdr:row>2</xdr:row>
      <xdr:rowOff>109007</xdr:rowOff>
    </xdr:to>
    <xdr:sp macro="" textlink="">
      <xdr:nvSpPr>
        <xdr:cNvPr id="1062" name="WordArt 38"/>
        <xdr:cNvSpPr>
          <a:spLocks noChangeArrowheads="1" noChangeShapeType="1" noTextEdit="1"/>
        </xdr:cNvSpPr>
      </xdr:nvSpPr>
      <xdr:spPr bwMode="auto">
        <a:xfrm>
          <a:off x="2276475" y="126999"/>
          <a:ext cx="4772025" cy="40110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2400" b="1" i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>
                <a:outerShdw dist="17961" dir="2700000" algn="ctr" rotWithShape="0">
                  <a:srgbClr xmlns:mc="http://schemas.openxmlformats.org/markup-compatibility/2006" xmlns:a14="http://schemas.microsoft.com/office/drawing/2010/main" val="969696" mc:Ignorable="a14" a14:legacySpreadsheetColorIndex="55"/>
                </a:outerShdw>
              </a:effectLst>
              <a:latin typeface="Arial"/>
              <a:cs typeface="Arial"/>
            </a:rPr>
            <a:t>Lighting LED Selection Tool</a:t>
          </a:r>
          <a:endParaRPr lang="ja-JP" altLang="en-US" sz="2400" b="1" i="1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>
              <a:outerShdw dist="17961" dir="2700000" algn="ctr" rotWithShape="0">
                <a:srgbClr xmlns:mc="http://schemas.openxmlformats.org/markup-compatibility/2006" xmlns:a14="http://schemas.microsoft.com/office/drawing/2010/main" val="969696" mc:Ignorable="a14" a14:legacySpreadsheetColorIndex="55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4</xdr:row>
      <xdr:rowOff>104775</xdr:rowOff>
    </xdr:from>
    <xdr:to>
      <xdr:col>13</xdr:col>
      <xdr:colOff>314325</xdr:colOff>
      <xdr:row>6</xdr:row>
      <xdr:rowOff>76200</xdr:rowOff>
    </xdr:to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247650" y="847725"/>
          <a:ext cx="6953250" cy="3905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FF" mc:Ignorable="a14" a14:legacySpreadsheetColorIndex="3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28575</xdr:colOff>
      <xdr:row>4</xdr:row>
      <xdr:rowOff>0</xdr:rowOff>
    </xdr:from>
    <xdr:ext cx="1114720" cy="162224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84727" y="737152"/>
          <a:ext cx="1114720" cy="1622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000" tIns="0" rIns="3600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Arial"/>
              <a:cs typeface="Arial"/>
            </a:rPr>
            <a:t>Condition input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2"/>
  <sheetViews>
    <sheetView showGridLines="0" tabSelected="1" zoomScale="90" zoomScaleNormal="90" workbookViewId="0">
      <selection activeCell="G6" sqref="G6"/>
    </sheetView>
  </sheetViews>
  <sheetFormatPr defaultRowHeight="14.25"/>
  <cols>
    <col min="1" max="1" width="4.625" style="29" customWidth="1"/>
    <col min="2" max="2" width="9.5" style="29" customWidth="1"/>
    <col min="3" max="3" width="10.625" style="29" customWidth="1"/>
    <col min="4" max="4" width="8.625" style="29" customWidth="1"/>
    <col min="5" max="6" width="6.625" style="29" customWidth="1"/>
    <col min="7" max="7" width="8.125" style="29" customWidth="1"/>
    <col min="8" max="8" width="5.125" style="29" customWidth="1"/>
    <col min="9" max="18" width="6.625" style="29" customWidth="1"/>
    <col min="19" max="16384" width="9" style="29"/>
  </cols>
  <sheetData>
    <row r="1" spans="1:20" ht="17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ht="17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17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0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0" ht="17.100000000000001" customHeight="1" thickBot="1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1"/>
    </row>
    <row r="6" spans="1:20" ht="17.100000000000001" customHeight="1" thickBot="1">
      <c r="A6" s="3"/>
      <c r="B6" s="6" t="s">
        <v>10</v>
      </c>
      <c r="C6" s="42">
        <v>6</v>
      </c>
      <c r="D6" s="7">
        <v>1</v>
      </c>
      <c r="E6" s="8">
        <v>2</v>
      </c>
      <c r="F6" s="2"/>
      <c r="G6" s="9">
        <v>1400</v>
      </c>
      <c r="H6" s="26" t="str">
        <f>VLOOKUP(E6,Calculation!A27:I28,9,FALSE)</f>
        <v>mA</v>
      </c>
      <c r="I6" s="3"/>
      <c r="J6" s="223" t="s">
        <v>11</v>
      </c>
      <c r="K6" s="224"/>
      <c r="L6" s="221">
        <v>25</v>
      </c>
      <c r="M6" s="222"/>
      <c r="N6" s="10"/>
      <c r="O6" s="5"/>
      <c r="P6" s="1"/>
    </row>
    <row r="7" spans="1:20" ht="9.9499999999999993" customHeight="1">
      <c r="A7" s="3"/>
      <c r="B7" s="11"/>
      <c r="C7" s="7"/>
      <c r="D7" s="7"/>
      <c r="E7" s="1"/>
      <c r="F7" s="12"/>
      <c r="G7" s="13"/>
      <c r="H7" s="14"/>
      <c r="I7" s="3"/>
      <c r="J7" s="15"/>
      <c r="K7" s="16"/>
      <c r="L7" s="10"/>
      <c r="M7" s="16"/>
      <c r="N7" s="10"/>
      <c r="O7" s="3"/>
      <c r="P7" s="1"/>
    </row>
    <row r="8" spans="1:20" ht="9.9499999999999993" customHeight="1" thickBot="1">
      <c r="A8" s="3"/>
      <c r="B8" s="3"/>
      <c r="C8" s="3"/>
      <c r="D8" s="3"/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17"/>
    </row>
    <row r="9" spans="1:20" s="31" customFormat="1" ht="17.100000000000001" customHeight="1" thickBot="1">
      <c r="A9" s="3"/>
      <c r="B9" s="161" t="s">
        <v>12</v>
      </c>
      <c r="C9" s="162"/>
      <c r="D9" s="163"/>
      <c r="E9" s="184" t="str">
        <f>VLOOKUP($E6,Calculation!A27:I28,3,FALSE)</f>
        <v>φv (lm)</v>
      </c>
      <c r="F9" s="157"/>
      <c r="G9" s="157" t="str">
        <f>VLOOKUP($E6,Calculation!A27:I28,4,FALSE)</f>
        <v>Vf (V)</v>
      </c>
      <c r="H9" s="157"/>
      <c r="I9" s="157" t="str">
        <f>VLOOKUP($E6,Calculation!A27:I28,7,FALSE)</f>
        <v>Pd (W)</v>
      </c>
      <c r="J9" s="157"/>
      <c r="K9" s="157" t="str">
        <f>VLOOKUP($E6,Calculation!A27:I28,8,FALSE)</f>
        <v>lm/W</v>
      </c>
      <c r="L9" s="230"/>
      <c r="M9" s="157" t="s">
        <v>13</v>
      </c>
      <c r="N9" s="227"/>
      <c r="O9" s="30"/>
      <c r="P9" s="37"/>
      <c r="R9" s="27"/>
    </row>
    <row r="10" spans="1:20" s="31" customFormat="1" ht="18.75" hidden="1" customHeight="1" thickBot="1">
      <c r="A10" s="3"/>
      <c r="B10" s="18" t="s">
        <v>14</v>
      </c>
      <c r="C10" s="19"/>
      <c r="D10" s="19"/>
      <c r="E10" s="20" t="str">
        <f>CONCATENATE($E6,E9)</f>
        <v>2φv (lm)</v>
      </c>
      <c r="F10" s="20"/>
      <c r="G10" s="21" t="str">
        <f>CONCATENATE($E6,G9)</f>
        <v>2Vf (V)</v>
      </c>
      <c r="H10" s="21"/>
      <c r="I10" s="21" t="str">
        <f>CONCATENATE($E6,I9)</f>
        <v>2Pd (W)</v>
      </c>
      <c r="J10" s="21"/>
      <c r="K10" s="21" t="str">
        <f>CONCATENATE($E6,K9)</f>
        <v>2lm/W</v>
      </c>
      <c r="L10" s="22"/>
      <c r="M10" s="23" t="str">
        <f>CONCATENATE($E6,M9)</f>
        <v>2Tj (C)</v>
      </c>
      <c r="N10" s="23"/>
      <c r="R10" s="27"/>
    </row>
    <row r="11" spans="1:20" s="31" customFormat="1" ht="17.100000000000001" customHeight="1">
      <c r="A11" s="3"/>
      <c r="B11" s="164" t="str">
        <f>CONCATENATE(Calculation!B2,"-",Calculation!G2,Calculation!D2,"-",Calculation!E2)</f>
        <v>CLU028-1201C4-503M2M2-F1</v>
      </c>
      <c r="C11" s="165"/>
      <c r="D11" s="166"/>
      <c r="E11" s="189" t="str">
        <f>HLOOKUP(E$10,Calculation!$C$34:$P$48,2,FALSE)</f>
        <v>Not Applicable</v>
      </c>
      <c r="F11" s="190"/>
      <c r="G11" s="155" t="str">
        <f>HLOOKUP(G$10,Calculation!$C$34:$P$48,2,FALSE)</f>
        <v>Not Applicable</v>
      </c>
      <c r="H11" s="156"/>
      <c r="I11" s="155" t="str">
        <f>HLOOKUP(I$10,Calculation!$C$34:$P$48,2,FALSE)</f>
        <v>Not Applicable</v>
      </c>
      <c r="J11" s="156"/>
      <c r="K11" s="201" t="str">
        <f>HLOOKUP(K$10,Calculation!$C$34:$P$48,2,FALSE)</f>
        <v>Not Applicable</v>
      </c>
      <c r="L11" s="202"/>
      <c r="M11" s="201" t="str">
        <f>HLOOKUP(M$10,Calculation!$C$34:$P$48,2,FALSE)</f>
        <v>Not Applicable</v>
      </c>
      <c r="N11" s="229"/>
      <c r="O11" s="32"/>
      <c r="P11" s="38"/>
      <c r="Q11" s="39"/>
      <c r="R11" s="27"/>
      <c r="S11" s="40"/>
    </row>
    <row r="12" spans="1:20" s="31" customFormat="1" ht="17.100000000000001" customHeight="1">
      <c r="A12" s="3"/>
      <c r="B12" s="164" t="str">
        <f>CONCATENATE(Calculation!B3,"-",Calculation!G3,Calculation!D3,"-",Calculation!E3)</f>
        <v>CLU028-1202C4-503M2M2-F1</v>
      </c>
      <c r="C12" s="165"/>
      <c r="D12" s="166"/>
      <c r="E12" s="185" t="str">
        <f>HLOOKUP(E$10,Calculation!$C$34:$P$48,3,FALSE)</f>
        <v>Not Applicable</v>
      </c>
      <c r="F12" s="186"/>
      <c r="G12" s="149" t="str">
        <f>HLOOKUP(G$10,Calculation!$C$34:$P$48,3,FALSE)</f>
        <v>Not Applicable</v>
      </c>
      <c r="H12" s="150"/>
      <c r="I12" s="149" t="str">
        <f>HLOOKUP(I$10,Calculation!$C$34:$P$48,3,FALSE)</f>
        <v>Not Applicable</v>
      </c>
      <c r="J12" s="150"/>
      <c r="K12" s="199" t="str">
        <f>HLOOKUP(K$10,Calculation!$C$34:$P$48,3,FALSE)</f>
        <v>Not Applicable</v>
      </c>
      <c r="L12" s="200"/>
      <c r="M12" s="199" t="str">
        <f>HLOOKUP(M$10,Calculation!$C$34:$P$48,3,FALSE)</f>
        <v>Not Applicable</v>
      </c>
      <c r="N12" s="228"/>
      <c r="O12" s="32"/>
      <c r="P12" s="38"/>
      <c r="Q12" s="39"/>
      <c r="R12" s="27"/>
      <c r="S12" s="40"/>
    </row>
    <row r="13" spans="1:20" s="31" customFormat="1" ht="17.100000000000001" customHeight="1">
      <c r="A13" s="3"/>
      <c r="B13" s="164" t="str">
        <f>CONCATENATE(Calculation!B4,"-",Calculation!G4,Calculation!D4,"-",Calculation!E4)</f>
        <v>CLU028-1203C4-503M2M2-F1</v>
      </c>
      <c r="C13" s="165"/>
      <c r="D13" s="166"/>
      <c r="E13" s="185" t="str">
        <f>HLOOKUP(E$10,Calculation!$C$34:$P$48,4,FALSE)</f>
        <v>Not Applicable</v>
      </c>
      <c r="F13" s="186"/>
      <c r="G13" s="149" t="str">
        <f>HLOOKUP(G$10,Calculation!$C$34:$P$48,4,FALSE)</f>
        <v>Not Applicable</v>
      </c>
      <c r="H13" s="150"/>
      <c r="I13" s="149" t="str">
        <f>HLOOKUP(I$10,Calculation!$C$34:$P$48,4,FALSE)</f>
        <v>Not Applicable</v>
      </c>
      <c r="J13" s="150"/>
      <c r="K13" s="199" t="str">
        <f>HLOOKUP(K$10,Calculation!$C$34:$P$48,4,FALSE)</f>
        <v>Not Applicable</v>
      </c>
      <c r="L13" s="200"/>
      <c r="M13" s="199" t="str">
        <f>HLOOKUP(M$10,Calculation!$C$34:$P$48,4,FALSE)</f>
        <v>Not Applicable</v>
      </c>
      <c r="N13" s="228"/>
      <c r="O13" s="32"/>
      <c r="P13" s="38"/>
      <c r="Q13" s="39"/>
      <c r="R13" s="27"/>
      <c r="S13" s="40"/>
    </row>
    <row r="14" spans="1:20" s="31" customFormat="1" ht="17.100000000000001" customHeight="1">
      <c r="A14" s="3"/>
      <c r="B14" s="164" t="str">
        <f>CONCATENATE(Calculation!B5,"-",Calculation!G5,Calculation!D5,"-",Calculation!E5)</f>
        <v>CLU028-1204C4-503M2M2-F1</v>
      </c>
      <c r="C14" s="165"/>
      <c r="D14" s="166"/>
      <c r="E14" s="185" t="str">
        <f>HLOOKUP(E$10,Calculation!$C$34:$P$48,5,FALSE)</f>
        <v>Not Applicable</v>
      </c>
      <c r="F14" s="186"/>
      <c r="G14" s="149" t="str">
        <f>HLOOKUP(G$10,Calculation!$C$34:$P$48,5,FALSE)</f>
        <v>Not Applicable</v>
      </c>
      <c r="H14" s="150"/>
      <c r="I14" s="149" t="str">
        <f>HLOOKUP(I$10,Calculation!$C$34:$P$48,5,FALSE)</f>
        <v>Not Applicable</v>
      </c>
      <c r="J14" s="150"/>
      <c r="K14" s="199" t="str">
        <f>HLOOKUP(K$10,Calculation!$C$34:$P$48,5,FALSE)</f>
        <v>Not Applicable</v>
      </c>
      <c r="L14" s="200"/>
      <c r="M14" s="199" t="str">
        <f>HLOOKUP(M$10,Calculation!$C$34:$P$48,5,FALSE)</f>
        <v>Not Applicable</v>
      </c>
      <c r="N14" s="228"/>
      <c r="O14" s="32"/>
      <c r="P14" s="38"/>
      <c r="Q14" s="39"/>
      <c r="R14" s="27"/>
      <c r="S14" s="41"/>
      <c r="T14" s="41"/>
    </row>
    <row r="15" spans="1:20" s="31" customFormat="1" ht="17.100000000000001" customHeight="1">
      <c r="A15" s="3"/>
      <c r="B15" s="167" t="str">
        <f>CONCATENATE(Calculation!B6,"-",Calculation!G6,Calculation!D6,"-",Calculation!E6)</f>
        <v>CLU038-1205C4-503M2M2-F1</v>
      </c>
      <c r="C15" s="168"/>
      <c r="D15" s="169"/>
      <c r="E15" s="187" t="str">
        <f>HLOOKUP(E$10,Calculation!$C$34:$P$48,6,FALSE)</f>
        <v>Not Applicable</v>
      </c>
      <c r="F15" s="188"/>
      <c r="G15" s="151" t="str">
        <f>HLOOKUP(G$10,Calculation!$C$34:$P$48,6,FALSE)</f>
        <v>Not Applicable</v>
      </c>
      <c r="H15" s="152"/>
      <c r="I15" s="151" t="str">
        <f>HLOOKUP(I$10,Calculation!$C$34:$P$48,6,FALSE)</f>
        <v>Not Applicable</v>
      </c>
      <c r="J15" s="152"/>
      <c r="K15" s="218" t="str">
        <f>HLOOKUP(K$10,Calculation!$C$34:$P$48,6,FALSE)</f>
        <v>Not Applicable</v>
      </c>
      <c r="L15" s="226"/>
      <c r="M15" s="218" t="str">
        <f>HLOOKUP(M$10,Calculation!$C$34:$P$48,6,FALSE)</f>
        <v>Not Applicable</v>
      </c>
      <c r="N15" s="219"/>
      <c r="O15" s="32"/>
      <c r="P15" s="38"/>
      <c r="Q15" s="39"/>
      <c r="R15" s="27"/>
      <c r="S15" s="41"/>
      <c r="T15" s="41"/>
    </row>
    <row r="16" spans="1:20" s="31" customFormat="1" ht="17.100000000000001" customHeight="1">
      <c r="A16" s="3"/>
      <c r="B16" s="170" t="str">
        <f>CONCATENATE(Calculation!B7,"-",Calculation!G7,Calculation!D7,"-",Calculation!E7)</f>
        <v>CLU038-1206C4-503M2M2-F1</v>
      </c>
      <c r="C16" s="171"/>
      <c r="D16" s="172"/>
      <c r="E16" s="180" t="str">
        <f>HLOOKUP(E$10,Calculation!$C$34:$P$48,7,FALSE)</f>
        <v>Not Applicable</v>
      </c>
      <c r="F16" s="181"/>
      <c r="G16" s="153" t="str">
        <f>HLOOKUP(G$10,Calculation!$C$34:$P$48,7,FALSE)</f>
        <v>Not Applicable</v>
      </c>
      <c r="H16" s="154"/>
      <c r="I16" s="153" t="str">
        <f>HLOOKUP(I$10,Calculation!$C$34:$P$48,7,FALSE)</f>
        <v>Not Applicable</v>
      </c>
      <c r="J16" s="154"/>
      <c r="K16" s="203" t="str">
        <f>HLOOKUP(K$10,Calculation!$C$34:$P$48,7,FALSE)</f>
        <v>Not Applicable</v>
      </c>
      <c r="L16" s="204"/>
      <c r="M16" s="203" t="str">
        <f>HLOOKUP(M$10,Calculation!$C$34:$P$48,7,FALSE)</f>
        <v>Not Applicable</v>
      </c>
      <c r="N16" s="220"/>
      <c r="O16" s="32"/>
      <c r="P16" s="38"/>
      <c r="Q16" s="39"/>
      <c r="R16" s="27"/>
      <c r="S16" s="41"/>
      <c r="T16" s="41"/>
    </row>
    <row r="17" spans="1:20" s="31" customFormat="1" ht="17.100000000000001" customHeight="1">
      <c r="A17" s="3"/>
      <c r="B17" s="170" t="str">
        <f>CONCATENATE(Calculation!B8,"-",Calculation!G8,Calculation!D8,"-",Calculation!E8)</f>
        <v>CLU038-1208C4-503M2M2-F1</v>
      </c>
      <c r="C17" s="171"/>
      <c r="D17" s="172"/>
      <c r="E17" s="180">
        <f>HLOOKUP(E$10,Calculation!$C$34:$P$48,8,FALSE)</f>
        <v>7421.1456173048282</v>
      </c>
      <c r="F17" s="181"/>
      <c r="G17" s="153">
        <f>HLOOKUP(G$10,Calculation!$C$34:$P$48,8,FALSE)</f>
        <v>37.817322067077754</v>
      </c>
      <c r="H17" s="154"/>
      <c r="I17" s="153">
        <f>HLOOKUP(I$10,Calculation!$C$34:$P$48,8,FALSE)</f>
        <v>52.944250893908858</v>
      </c>
      <c r="J17" s="154"/>
      <c r="K17" s="203">
        <f>HLOOKUP(K$10,Calculation!$C$34:$P$48,8,FALSE)</f>
        <v>140.16905503442712</v>
      </c>
      <c r="L17" s="204"/>
      <c r="M17" s="203">
        <f>HLOOKUP(M$10,Calculation!$C$34:$P$48,8,FALSE)</f>
        <v>50.413240429076254</v>
      </c>
      <c r="N17" s="220"/>
      <c r="O17" s="32"/>
      <c r="P17" s="38"/>
      <c r="Q17" s="39"/>
      <c r="R17" s="27"/>
      <c r="S17" s="41"/>
      <c r="T17" s="41"/>
    </row>
    <row r="18" spans="1:20" s="31" customFormat="1" ht="17.100000000000001" customHeight="1">
      <c r="A18" s="3"/>
      <c r="B18" s="170" t="str">
        <f>CONCATENATE(Calculation!B9,"-",Calculation!G9,Calculation!D9,"-",Calculation!E9)</f>
        <v>CLU038-1210C4-503M2M2-F1</v>
      </c>
      <c r="C18" s="173"/>
      <c r="D18" s="174"/>
      <c r="E18" s="180">
        <f>HLOOKUP(E$10,Calculation!$C$34:$P$48,9,FALSE)</f>
        <v>7595.091997844358</v>
      </c>
      <c r="F18" s="181"/>
      <c r="G18" s="153">
        <f>HLOOKUP(G$10,Calculation!$C$34:$P$48,9,FALSE)</f>
        <v>36.812412094795746</v>
      </c>
      <c r="H18" s="154"/>
      <c r="I18" s="153">
        <f>HLOOKUP(I$10,Calculation!$C$34:$P$48,9,FALSE)</f>
        <v>51.537376932714047</v>
      </c>
      <c r="J18" s="154"/>
      <c r="K18" s="203">
        <f>HLOOKUP(K$10,Calculation!$C$34:$P$48,9,FALSE)</f>
        <v>147.37055802743564</v>
      </c>
      <c r="L18" s="204"/>
      <c r="M18" s="203">
        <f>HLOOKUP(M$10,Calculation!$C$34:$P$48,9,FALSE)</f>
        <v>45.614950773085624</v>
      </c>
      <c r="N18" s="220"/>
      <c r="O18" s="32"/>
      <c r="P18" s="38"/>
      <c r="Q18" s="39"/>
      <c r="R18" s="27"/>
      <c r="S18" s="41"/>
      <c r="T18" s="41"/>
    </row>
    <row r="19" spans="1:20" s="31" customFormat="1" ht="17.100000000000001" customHeight="1">
      <c r="A19" s="3"/>
      <c r="B19" s="175" t="str">
        <f>CONCATENATE(Calculation!B10,"-",Calculation!G10,Calculation!D10,"-",Calculation!E10)</f>
        <v>CLU048-1211C4-503M2M2-F1</v>
      </c>
      <c r="C19" s="176"/>
      <c r="D19" s="177"/>
      <c r="E19" s="182">
        <f>HLOOKUP(E$10,Calculation!$C$34:$P$48,10,FALSE)</f>
        <v>7998.5090011177354</v>
      </c>
      <c r="F19" s="183"/>
      <c r="G19" s="193">
        <f>HLOOKUP(G$10,Calculation!$C$34:$P$48,10,FALSE)</f>
        <v>36.417166712317723</v>
      </c>
      <c r="H19" s="194"/>
      <c r="I19" s="193">
        <f>HLOOKUP(I$10,Calculation!$C$34:$P$48,10,FALSE)</f>
        <v>50.984033397244815</v>
      </c>
      <c r="J19" s="194"/>
      <c r="K19" s="197">
        <f>HLOOKUP(K$10,Calculation!$C$34:$P$48,10,FALSE)</f>
        <v>156.88262517005913</v>
      </c>
      <c r="L19" s="198"/>
      <c r="M19" s="197">
        <f>HLOOKUP(M$10,Calculation!$C$34:$P$48,10,FALSE)</f>
        <v>43.354252023008129</v>
      </c>
      <c r="N19" s="215"/>
      <c r="O19" s="32"/>
      <c r="P19" s="38"/>
      <c r="Q19" s="39"/>
      <c r="R19" s="27"/>
      <c r="S19" s="41"/>
      <c r="T19" s="41"/>
    </row>
    <row r="20" spans="1:20" s="31" customFormat="1" ht="17.100000000000001" customHeight="1">
      <c r="A20" s="3"/>
      <c r="B20" s="175" t="str">
        <f>CONCATENATE(Calculation!B11,"-",Calculation!G11,Calculation!D11,"-",Calculation!E11)</f>
        <v>CLU048-1212C4-503M2M2-F1</v>
      </c>
      <c r="C20" s="176"/>
      <c r="D20" s="177"/>
      <c r="E20" s="182">
        <f>HLOOKUP(E$10,Calculation!$C$34:$P$48,11,FALSE)</f>
        <v>8084.9617995337358</v>
      </c>
      <c r="F20" s="183"/>
      <c r="G20" s="193">
        <f>HLOOKUP(G$10,Calculation!$C$34:$P$48,11,FALSE)</f>
        <v>36.078421285199887</v>
      </c>
      <c r="H20" s="194"/>
      <c r="I20" s="193">
        <f>HLOOKUP(I$10,Calculation!$C$34:$P$48,11,FALSE)</f>
        <v>50.509789799279837</v>
      </c>
      <c r="J20" s="194"/>
      <c r="K20" s="197">
        <f>HLOOKUP(K$10,Calculation!$C$34:$P$48,11,FALSE)</f>
        <v>160.06722323855345</v>
      </c>
      <c r="L20" s="198"/>
      <c r="M20" s="197">
        <f>HLOOKUP(M$10,Calculation!$C$34:$P$48,11,FALSE)</f>
        <v>41.163132735769551</v>
      </c>
      <c r="N20" s="215"/>
      <c r="O20" s="32"/>
      <c r="P20" s="38"/>
      <c r="Q20" s="39"/>
      <c r="R20" s="27"/>
      <c r="S20" s="41"/>
      <c r="T20" s="41"/>
    </row>
    <row r="21" spans="1:20" s="31" customFormat="1" ht="17.100000000000001" customHeight="1">
      <c r="A21" s="3"/>
      <c r="B21" s="175" t="str">
        <f>CONCATENATE(Calculation!B12,"-",Calculation!G12,Calculation!D12,"-",Calculation!E12)</f>
        <v>CLU048-1812C4-503M2M2-F1</v>
      </c>
      <c r="C21" s="178"/>
      <c r="D21" s="179"/>
      <c r="E21" s="182">
        <f>HLOOKUP(E$10,Calculation!$C$34:$P$48,12,FALSE)</f>
        <v>11791.40210347888</v>
      </c>
      <c r="F21" s="183"/>
      <c r="G21" s="193">
        <f>HLOOKUP(G$10,Calculation!$C$34:$P$48,12,FALSE)</f>
        <v>54.177759153693181</v>
      </c>
      <c r="H21" s="194"/>
      <c r="I21" s="193">
        <f>HLOOKUP(I$10,Calculation!$C$34:$P$48,12,FALSE)</f>
        <v>75.848862815170449</v>
      </c>
      <c r="J21" s="194"/>
      <c r="K21" s="197">
        <f>HLOOKUP(K$10,Calculation!$C$34:$P$48,12,FALSE)</f>
        <v>155.45918113778885</v>
      </c>
      <c r="L21" s="225"/>
      <c r="M21" s="197">
        <f>HLOOKUP(M$10,Calculation!$C$34:$P$48,12,FALSE)</f>
        <v>43.203727075640906</v>
      </c>
      <c r="N21" s="215"/>
      <c r="O21" s="32"/>
      <c r="P21" s="38"/>
      <c r="Q21" s="39"/>
      <c r="R21" s="27"/>
      <c r="S21" s="41"/>
      <c r="T21" s="41"/>
    </row>
    <row r="22" spans="1:20" s="31" customFormat="1" ht="17.100000000000001" customHeight="1">
      <c r="A22" s="3"/>
      <c r="B22" s="175" t="str">
        <f>CONCATENATE(Calculation!B13,"-",Calculation!G13,Calculation!D13,"-",Calculation!E13)</f>
        <v>CLU048-1818C4-503M2M2-F1</v>
      </c>
      <c r="C22" s="178"/>
      <c r="D22" s="179"/>
      <c r="E22" s="182">
        <f>HLOOKUP(E$10,Calculation!$C$34:$P$48,13,FALSE)</f>
        <v>11907.768425778664</v>
      </c>
      <c r="F22" s="183"/>
      <c r="G22" s="193">
        <f>HLOOKUP(G$10,Calculation!$C$34:$P$48,13,FALSE)</f>
        <v>52.098953916159587</v>
      </c>
      <c r="H22" s="194"/>
      <c r="I22" s="193">
        <f>HLOOKUP(I$10,Calculation!$C$34:$P$48,13,FALSE)</f>
        <v>72.938535482623422</v>
      </c>
      <c r="J22" s="194"/>
      <c r="K22" s="197">
        <f>HLOOKUP(K$10,Calculation!$C$34:$P$48,13,FALSE)</f>
        <v>163.25757498401543</v>
      </c>
      <c r="L22" s="225"/>
      <c r="M22" s="197">
        <f>HLOOKUP(M$10,Calculation!$C$34:$P$48,13,FALSE)</f>
        <v>36.67016567721975</v>
      </c>
      <c r="N22" s="215"/>
      <c r="O22" s="32"/>
      <c r="P22" s="38"/>
      <c r="Q22" s="39"/>
      <c r="R22" s="27"/>
      <c r="S22" s="40"/>
    </row>
    <row r="23" spans="1:20" s="31" customFormat="1" ht="17.100000000000001" customHeight="1">
      <c r="A23" s="3"/>
      <c r="B23" s="158" t="str">
        <f>CONCATENATE(Calculation!B14,"-",Calculation!G14,Calculation!D14,"-",Calculation!E14)</f>
        <v>CLU058-1825C4-503M2M2-F1</v>
      </c>
      <c r="C23" s="159"/>
      <c r="D23" s="160"/>
      <c r="E23" s="195">
        <f>HLOOKUP(E$10,Calculation!$C$34:$P$48,14,FALSE)</f>
        <v>12778.932859755745</v>
      </c>
      <c r="F23" s="196"/>
      <c r="G23" s="191">
        <f>HLOOKUP(G$10,Calculation!$C$34:$P$48,14,FALSE)</f>
        <v>50.766927359428578</v>
      </c>
      <c r="H23" s="192"/>
      <c r="I23" s="191">
        <f>HLOOKUP(I$10,Calculation!$C$34:$P$48,14,FALSE)</f>
        <v>71.073698303200018</v>
      </c>
      <c r="J23" s="192"/>
      <c r="K23" s="216">
        <f>HLOOKUP(K$10,Calculation!$C$34:$P$48,14,FALSE)</f>
        <v>179.79833841262749</v>
      </c>
      <c r="L23" s="204"/>
      <c r="M23" s="216">
        <f>HLOOKUP(M$10,Calculation!$C$34:$P$48,14,FALSE)</f>
        <v>34.239580779416002</v>
      </c>
      <c r="N23" s="217"/>
      <c r="O23" s="32"/>
      <c r="P23" s="38"/>
      <c r="Q23" s="39"/>
      <c r="R23" s="27"/>
      <c r="S23" s="40"/>
    </row>
    <row r="24" spans="1:20" s="31" customFormat="1" ht="17.100000000000001" customHeight="1" thickBot="1">
      <c r="A24" s="3"/>
      <c r="B24" s="205" t="str">
        <f>CONCATENATE(Calculation!B15,"-",Calculation!G15,Calculation!D15,"-",Calculation!E15)</f>
        <v>CLU058-3618C4-503M2M2-F1</v>
      </c>
      <c r="C24" s="206"/>
      <c r="D24" s="207"/>
      <c r="E24" s="208">
        <f>HLOOKUP(E$10,Calculation!$C$34:$P$48,15,FALSE)</f>
        <v>23939.617665632319</v>
      </c>
      <c r="F24" s="209"/>
      <c r="G24" s="210">
        <f>HLOOKUP(G$10,Calculation!$C$34:$P$48,15,FALSE)</f>
        <v>103.94751787007398</v>
      </c>
      <c r="H24" s="211"/>
      <c r="I24" s="210">
        <f>HLOOKUP(I$10,Calculation!$C$34:$P$48,15,FALSE)</f>
        <v>145.52652501810357</v>
      </c>
      <c r="J24" s="211"/>
      <c r="K24" s="212">
        <f>HLOOKUP(K$10,Calculation!$C$34:$P$48,15,FALSE)</f>
        <v>164.50346534869996</v>
      </c>
      <c r="L24" s="213"/>
      <c r="M24" s="212">
        <f>HLOOKUP(M$10,Calculation!$C$34:$P$48,15,FALSE)</f>
        <v>38.825019876719836</v>
      </c>
      <c r="N24" s="214"/>
      <c r="O24" s="32"/>
      <c r="P24" s="38"/>
      <c r="Q24" s="39"/>
      <c r="R24" s="27"/>
      <c r="S24" s="40"/>
    </row>
    <row r="25" spans="1:20" ht="24.95" customHeight="1">
      <c r="A25" s="3"/>
      <c r="B25" s="3"/>
      <c r="C25" s="24" t="s">
        <v>15</v>
      </c>
      <c r="D25" s="3"/>
      <c r="E25" s="3"/>
      <c r="F25" s="3"/>
      <c r="G25" s="3"/>
      <c r="H25" s="3"/>
      <c r="I25" s="3"/>
      <c r="J25" s="25"/>
      <c r="K25" s="31"/>
      <c r="N25" s="43" t="s">
        <v>176</v>
      </c>
    </row>
    <row r="26" spans="1:20" ht="12.9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20" ht="12.95" customHeight="1">
      <c r="A27" s="31"/>
      <c r="B27" s="33" t="s">
        <v>79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20" ht="17.100000000000001" customHeight="1">
      <c r="A28" s="31"/>
      <c r="B28" s="33" t="s">
        <v>80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20" ht="17.100000000000001" customHeight="1">
      <c r="A29" s="31"/>
      <c r="B29" s="33" t="s">
        <v>81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20" ht="17.100000000000001" customHeight="1">
      <c r="A30" s="31"/>
      <c r="B30" s="33" t="s">
        <v>82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20" ht="1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20" ht="1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22" ht="1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22" ht="1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6" spans="1:22">
      <c r="U36" s="28"/>
      <c r="V36" s="28"/>
    </row>
    <row r="39" spans="1:22">
      <c r="V39" s="34"/>
    </row>
    <row r="40" spans="1:22">
      <c r="V40" s="34"/>
    </row>
    <row r="41" spans="1:22">
      <c r="V41" s="34"/>
    </row>
    <row r="42" spans="1:22">
      <c r="U42" s="35"/>
      <c r="V42" s="34"/>
    </row>
    <row r="43" spans="1:22">
      <c r="V43" s="34"/>
    </row>
    <row r="51" spans="2:4">
      <c r="B51" s="36"/>
      <c r="C51" s="36"/>
      <c r="D51" s="36"/>
    </row>
    <row r="52" spans="2:4">
      <c r="B52" s="36"/>
      <c r="C52" s="36"/>
      <c r="D52" s="36"/>
    </row>
  </sheetData>
  <sheetProtection password="C071" sheet="1" objects="1" scenarios="1"/>
  <mergeCells count="92">
    <mergeCell ref="L6:M6"/>
    <mergeCell ref="J6:K6"/>
    <mergeCell ref="M20:N20"/>
    <mergeCell ref="K22:L22"/>
    <mergeCell ref="K23:L23"/>
    <mergeCell ref="K15:L15"/>
    <mergeCell ref="K16:L16"/>
    <mergeCell ref="K17:L17"/>
    <mergeCell ref="M9:N9"/>
    <mergeCell ref="M12:N12"/>
    <mergeCell ref="M13:N13"/>
    <mergeCell ref="M14:N14"/>
    <mergeCell ref="M11:N11"/>
    <mergeCell ref="K20:L20"/>
    <mergeCell ref="K21:L21"/>
    <mergeCell ref="K9:L9"/>
    <mergeCell ref="M24:N24"/>
    <mergeCell ref="M22:N22"/>
    <mergeCell ref="M23:N23"/>
    <mergeCell ref="M15:N15"/>
    <mergeCell ref="M16:N16"/>
    <mergeCell ref="M17:N17"/>
    <mergeCell ref="M18:N18"/>
    <mergeCell ref="M21:N21"/>
    <mergeCell ref="M19:N19"/>
    <mergeCell ref="B24:D24"/>
    <mergeCell ref="E24:F24"/>
    <mergeCell ref="G24:H24"/>
    <mergeCell ref="I24:J24"/>
    <mergeCell ref="K24:L24"/>
    <mergeCell ref="K12:L12"/>
    <mergeCell ref="K13:L13"/>
    <mergeCell ref="K11:L11"/>
    <mergeCell ref="K14:L14"/>
    <mergeCell ref="K18:L18"/>
    <mergeCell ref="K19:L19"/>
    <mergeCell ref="G18:H18"/>
    <mergeCell ref="G19:H19"/>
    <mergeCell ref="I22:J22"/>
    <mergeCell ref="I23:J23"/>
    <mergeCell ref="I9:J9"/>
    <mergeCell ref="I12:J12"/>
    <mergeCell ref="I13:J13"/>
    <mergeCell ref="I14:J14"/>
    <mergeCell ref="I15:J15"/>
    <mergeCell ref="I11:J11"/>
    <mergeCell ref="I16:J16"/>
    <mergeCell ref="I17:J17"/>
    <mergeCell ref="I18:J18"/>
    <mergeCell ref="I20:J20"/>
    <mergeCell ref="I21:J21"/>
    <mergeCell ref="I19:J19"/>
    <mergeCell ref="B19:D19"/>
    <mergeCell ref="E19:F19"/>
    <mergeCell ref="G23:H23"/>
    <mergeCell ref="G20:H20"/>
    <mergeCell ref="G21:H21"/>
    <mergeCell ref="G22:H22"/>
    <mergeCell ref="E23:F23"/>
    <mergeCell ref="E22:F22"/>
    <mergeCell ref="E9:F9"/>
    <mergeCell ref="E12:F12"/>
    <mergeCell ref="E13:F13"/>
    <mergeCell ref="E14:F14"/>
    <mergeCell ref="E15:F15"/>
    <mergeCell ref="E11:F11"/>
    <mergeCell ref="E16:F16"/>
    <mergeCell ref="E17:F17"/>
    <mergeCell ref="E18:F18"/>
    <mergeCell ref="E20:F20"/>
    <mergeCell ref="E21:F21"/>
    <mergeCell ref="G9:H9"/>
    <mergeCell ref="G12:H12"/>
    <mergeCell ref="G13:H13"/>
    <mergeCell ref="B23:D23"/>
    <mergeCell ref="B9:D9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11:D11"/>
    <mergeCell ref="G14:H14"/>
    <mergeCell ref="G15:H15"/>
    <mergeCell ref="G16:H16"/>
    <mergeCell ref="G17:H17"/>
    <mergeCell ref="G11:H11"/>
  </mergeCells>
  <phoneticPr fontId="4"/>
  <conditionalFormatting sqref="E13:N18 E20:N22">
    <cfRule type="cellIs" dxfId="9" priority="13" stopIfTrue="1" operator="equal">
      <formula>"Not Applicable"</formula>
    </cfRule>
  </conditionalFormatting>
  <conditionalFormatting sqref="E12:N12">
    <cfRule type="cellIs" dxfId="8" priority="14" stopIfTrue="1" operator="equal">
      <formula>"Not Applicable"</formula>
    </cfRule>
  </conditionalFormatting>
  <conditionalFormatting sqref="L6:M6">
    <cfRule type="cellIs" dxfId="7" priority="16" stopIfTrue="1" operator="greaterThanOrEqual">
      <formula>120.001</formula>
    </cfRule>
    <cfRule type="cellIs" dxfId="6" priority="17" stopIfTrue="1" operator="lessThanOrEqual">
      <formula>-40.001</formula>
    </cfRule>
  </conditionalFormatting>
  <conditionalFormatting sqref="E23:N23">
    <cfRule type="cellIs" dxfId="5" priority="18" stopIfTrue="1" operator="equal">
      <formula>"Not Applicable"</formula>
    </cfRule>
  </conditionalFormatting>
  <conditionalFormatting sqref="E11:N11">
    <cfRule type="cellIs" dxfId="4" priority="3" stopIfTrue="1" operator="equal">
      <formula>"Not Applicable"</formula>
    </cfRule>
  </conditionalFormatting>
  <conditionalFormatting sqref="E24:N24">
    <cfRule type="cellIs" dxfId="3" priority="2" stopIfTrue="1" operator="equal">
      <formula>"Not Applicable"</formula>
    </cfRule>
  </conditionalFormatting>
  <conditionalFormatting sqref="E19:N19">
    <cfRule type="cellIs" dxfId="2" priority="1" stopIfTrue="1" operator="equal">
      <formula>"Not Applicable"</formula>
    </cfRule>
  </conditionalFormatting>
  <pageMargins left="0.39370078740157483" right="0.39370078740157483" top="0.39370078740157483" bottom="0.39370078740157483" header="0.51181102362204722" footer="0.51181102362204722"/>
  <pageSetup paperSize="9" scale="14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Drop Down 14">
              <controlPr locked="0" defaultSize="0" autoLine="0" autoPict="0">
                <anchor moveWithCells="1">
                  <from>
                    <xdr:col>2</xdr:col>
                    <xdr:colOff>9525</xdr:colOff>
                    <xdr:row>4</xdr:row>
                    <xdr:rowOff>200025</xdr:rowOff>
                  </from>
                  <to>
                    <xdr:col>3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Drop Down 17">
              <controlPr locked="0" defaultSize="0" autoLine="0" autoPict="0">
                <anchor moveWithCells="1">
                  <from>
                    <xdr:col>3</xdr:col>
                    <xdr:colOff>533400</xdr:colOff>
                    <xdr:row>4</xdr:row>
                    <xdr:rowOff>200025</xdr:rowOff>
                  </from>
                  <to>
                    <xdr:col>5</xdr:col>
                    <xdr:colOff>495300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90"/>
  <sheetViews>
    <sheetView view="pageBreakPreview" topLeftCell="AG191" zoomScale="60" zoomScaleNormal="75" workbookViewId="0">
      <selection activeCell="AT200" sqref="AT200"/>
    </sheetView>
  </sheetViews>
  <sheetFormatPr defaultColWidth="2.5" defaultRowHeight="23.25" customHeight="1"/>
  <cols>
    <col min="1" max="1" width="3.125" style="66" hidden="1" customWidth="1"/>
    <col min="2" max="2" width="16.75" style="66" hidden="1" customWidth="1"/>
    <col min="3" max="17" width="15.625" style="66" hidden="1" customWidth="1"/>
    <col min="18" max="18" width="21.75" style="66" hidden="1" customWidth="1"/>
    <col min="19" max="21" width="15.625" style="66" hidden="1" customWidth="1"/>
    <col min="22" max="24" width="20.375" style="66" hidden="1" customWidth="1"/>
    <col min="25" max="29" width="19.625" style="66" hidden="1" customWidth="1"/>
    <col min="30" max="32" width="12.5" style="66" hidden="1" customWidth="1"/>
    <col min="33" max="16384" width="2.5" style="66"/>
  </cols>
  <sheetData>
    <row r="1" spans="1:25" ht="16.5" hidden="1">
      <c r="A1" s="63"/>
      <c r="B1" s="63" t="s">
        <v>16</v>
      </c>
      <c r="C1" s="63"/>
      <c r="D1" s="63"/>
      <c r="E1" s="63"/>
      <c r="F1" s="63"/>
      <c r="G1" s="63"/>
      <c r="H1" s="63" t="s">
        <v>17</v>
      </c>
      <c r="I1" s="63" t="s">
        <v>18</v>
      </c>
      <c r="J1" s="63"/>
      <c r="L1" s="67" t="s">
        <v>19</v>
      </c>
      <c r="M1" s="67" t="s">
        <v>20</v>
      </c>
      <c r="N1" s="67" t="s">
        <v>21</v>
      </c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5" ht="16.5" hidden="1">
      <c r="A2" s="63"/>
      <c r="B2" s="68" t="s">
        <v>132</v>
      </c>
      <c r="C2" s="63" t="str">
        <f>VLOOKUP(Simulator!$C$6,J2:N22,2,FALSE)</f>
        <v>C4</v>
      </c>
      <c r="D2" s="63" t="str">
        <f>VLOOKUP(Simulator!$C$6,J2:N22,5,FALSE)</f>
        <v>M2</v>
      </c>
      <c r="E2" s="68" t="s">
        <v>153</v>
      </c>
      <c r="F2" s="63" t="str">
        <f>VLOOKUP(Simulator!$C$6,$J$2:$N$22,3,FALSE)</f>
        <v>5000K,80Min</v>
      </c>
      <c r="G2" s="63" t="str">
        <f>VLOOKUP(Simulator!$C$6,J2:N22,4,FALSE)</f>
        <v>503M2</v>
      </c>
      <c r="H2" s="63" t="s">
        <v>148</v>
      </c>
      <c r="I2" s="63" t="s">
        <v>23</v>
      </c>
      <c r="J2" s="63">
        <v>1</v>
      </c>
      <c r="K2" s="69" t="s">
        <v>145</v>
      </c>
      <c r="L2" s="54" t="s">
        <v>147</v>
      </c>
      <c r="M2" s="68" t="s">
        <v>89</v>
      </c>
      <c r="N2" s="68" t="s">
        <v>156</v>
      </c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5" ht="16.5" hidden="1">
      <c r="A3" s="63"/>
      <c r="B3" s="68" t="s">
        <v>133</v>
      </c>
      <c r="C3" s="63" t="str">
        <f t="shared" ref="C3:C15" si="0">$C$2</f>
        <v>C4</v>
      </c>
      <c r="D3" s="63" t="str">
        <f t="shared" ref="D3:D15" si="1">$D$2</f>
        <v>M2</v>
      </c>
      <c r="E3" s="68" t="s">
        <v>153</v>
      </c>
      <c r="F3" s="63" t="str">
        <f t="shared" ref="F3:F15" si="2">$F$2</f>
        <v>5000K,80Min</v>
      </c>
      <c r="G3" s="63" t="str">
        <f t="shared" ref="G3:G15" si="3">$G$2</f>
        <v>503M2</v>
      </c>
      <c r="H3" s="63" t="s">
        <v>22</v>
      </c>
      <c r="I3" s="63" t="s">
        <v>124</v>
      </c>
      <c r="J3" s="63">
        <v>2</v>
      </c>
      <c r="K3" s="69" t="s">
        <v>145</v>
      </c>
      <c r="L3" s="54" t="s">
        <v>131</v>
      </c>
      <c r="M3" s="68" t="s">
        <v>90</v>
      </c>
      <c r="N3" s="68" t="s">
        <v>156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70"/>
    </row>
    <row r="4" spans="1:25" ht="16.5" hidden="1">
      <c r="A4" s="63"/>
      <c r="B4" s="68" t="s">
        <v>134</v>
      </c>
      <c r="C4" s="63" t="str">
        <f t="shared" si="0"/>
        <v>C4</v>
      </c>
      <c r="D4" s="63" t="str">
        <f t="shared" si="1"/>
        <v>M2</v>
      </c>
      <c r="E4" s="68" t="s">
        <v>153</v>
      </c>
      <c r="F4" s="63" t="str">
        <f t="shared" si="2"/>
        <v>5000K,80Min</v>
      </c>
      <c r="G4" s="63" t="str">
        <f t="shared" si="3"/>
        <v>503M2</v>
      </c>
      <c r="H4" s="63" t="s">
        <v>122</v>
      </c>
      <c r="I4" s="63" t="s">
        <v>125</v>
      </c>
      <c r="J4" s="63">
        <v>3</v>
      </c>
      <c r="K4" s="69" t="s">
        <v>145</v>
      </c>
      <c r="L4" s="54" t="s">
        <v>88</v>
      </c>
      <c r="M4" s="68" t="s">
        <v>91</v>
      </c>
      <c r="N4" s="68" t="s">
        <v>156</v>
      </c>
      <c r="O4" s="63"/>
      <c r="P4" s="63"/>
      <c r="Q4" s="63"/>
      <c r="R4" s="63"/>
      <c r="S4" s="63"/>
      <c r="T4" s="63"/>
      <c r="U4" s="63"/>
      <c r="V4" s="63"/>
      <c r="W4" s="63"/>
      <c r="X4" s="63"/>
      <c r="Y4" s="70"/>
    </row>
    <row r="5" spans="1:25" ht="16.5" hidden="1">
      <c r="A5" s="63"/>
      <c r="B5" s="68" t="s">
        <v>135</v>
      </c>
      <c r="C5" s="63" t="str">
        <f t="shared" si="0"/>
        <v>C4</v>
      </c>
      <c r="D5" s="63" t="str">
        <f t="shared" si="1"/>
        <v>M2</v>
      </c>
      <c r="E5" s="68" t="s">
        <v>153</v>
      </c>
      <c r="F5" s="63" t="str">
        <f t="shared" si="2"/>
        <v>5000K,80Min</v>
      </c>
      <c r="G5" s="63" t="str">
        <f t="shared" si="3"/>
        <v>503M2</v>
      </c>
      <c r="H5" s="63" t="s">
        <v>123</v>
      </c>
      <c r="I5" s="63" t="s">
        <v>125</v>
      </c>
      <c r="J5" s="63">
        <v>4</v>
      </c>
      <c r="K5" s="69" t="s">
        <v>145</v>
      </c>
      <c r="L5" s="54" t="s">
        <v>92</v>
      </c>
      <c r="M5" s="68" t="s">
        <v>97</v>
      </c>
      <c r="N5" s="68" t="s">
        <v>154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70"/>
    </row>
    <row r="6" spans="1:25" ht="16.5" hidden="1">
      <c r="A6" s="63"/>
      <c r="B6" s="68" t="s">
        <v>136</v>
      </c>
      <c r="C6" s="63" t="str">
        <f t="shared" si="0"/>
        <v>C4</v>
      </c>
      <c r="D6" s="63" t="str">
        <f t="shared" si="1"/>
        <v>M2</v>
      </c>
      <c r="E6" s="68" t="s">
        <v>153</v>
      </c>
      <c r="F6" s="63" t="str">
        <f t="shared" si="2"/>
        <v>5000K,80Min</v>
      </c>
      <c r="G6" s="63" t="str">
        <f t="shared" si="3"/>
        <v>503M2</v>
      </c>
      <c r="H6" s="63" t="s">
        <v>24</v>
      </c>
      <c r="I6" s="63" t="s">
        <v>23</v>
      </c>
      <c r="J6" s="63">
        <v>5</v>
      </c>
      <c r="K6" s="69" t="s">
        <v>145</v>
      </c>
      <c r="L6" s="54" t="s">
        <v>149</v>
      </c>
      <c r="M6" s="68" t="s">
        <v>150</v>
      </c>
      <c r="N6" s="68" t="s">
        <v>154</v>
      </c>
      <c r="S6" s="63"/>
      <c r="T6" s="63"/>
      <c r="U6" s="63"/>
      <c r="V6" s="63"/>
      <c r="W6" s="63"/>
      <c r="X6" s="63"/>
      <c r="Y6" s="70"/>
    </row>
    <row r="7" spans="1:25" ht="16.5" hidden="1">
      <c r="A7" s="63"/>
      <c r="B7" s="68" t="s">
        <v>137</v>
      </c>
      <c r="C7" s="63" t="str">
        <f t="shared" si="0"/>
        <v>C4</v>
      </c>
      <c r="D7" s="63" t="str">
        <f t="shared" si="1"/>
        <v>M2</v>
      </c>
      <c r="E7" s="68" t="s">
        <v>153</v>
      </c>
      <c r="F7" s="63" t="str">
        <f t="shared" si="2"/>
        <v>5000K,80Min</v>
      </c>
      <c r="G7" s="63" t="str">
        <f t="shared" si="3"/>
        <v>503M2</v>
      </c>
      <c r="H7" s="63" t="s">
        <v>9</v>
      </c>
      <c r="I7" s="63" t="s">
        <v>125</v>
      </c>
      <c r="J7" s="63">
        <v>6</v>
      </c>
      <c r="K7" s="69" t="s">
        <v>145</v>
      </c>
      <c r="L7" s="54" t="s">
        <v>87</v>
      </c>
      <c r="M7" s="68" t="s">
        <v>83</v>
      </c>
      <c r="N7" s="68" t="s">
        <v>154</v>
      </c>
      <c r="O7" s="63"/>
      <c r="P7" s="63"/>
      <c r="Q7" s="63"/>
      <c r="R7" s="63"/>
      <c r="Y7" s="70"/>
    </row>
    <row r="8" spans="1:25" ht="16.5" hidden="1">
      <c r="A8" s="63"/>
      <c r="B8" s="68" t="s">
        <v>138</v>
      </c>
      <c r="C8" s="63" t="str">
        <f t="shared" si="0"/>
        <v>C4</v>
      </c>
      <c r="D8" s="63" t="str">
        <f t="shared" si="1"/>
        <v>M2</v>
      </c>
      <c r="E8" s="68" t="s">
        <v>153</v>
      </c>
      <c r="F8" s="63" t="str">
        <f t="shared" si="2"/>
        <v>5000K,80Min</v>
      </c>
      <c r="G8" s="63" t="str">
        <f t="shared" si="3"/>
        <v>503M2</v>
      </c>
      <c r="H8" s="63"/>
      <c r="I8" s="63"/>
      <c r="J8" s="63">
        <v>7</v>
      </c>
      <c r="K8" s="69" t="s">
        <v>145</v>
      </c>
      <c r="L8" s="54" t="s">
        <v>93</v>
      </c>
      <c r="M8" s="68" t="s">
        <v>98</v>
      </c>
      <c r="N8" s="68" t="s">
        <v>154</v>
      </c>
      <c r="S8" s="63"/>
      <c r="T8" s="63"/>
      <c r="U8" s="63"/>
      <c r="V8" s="63"/>
      <c r="W8" s="63"/>
      <c r="X8" s="63"/>
      <c r="Y8" s="70"/>
    </row>
    <row r="9" spans="1:25" ht="16.5" hidden="1">
      <c r="A9" s="63"/>
      <c r="B9" s="68" t="s">
        <v>139</v>
      </c>
      <c r="C9" s="63" t="str">
        <f t="shared" si="0"/>
        <v>C4</v>
      </c>
      <c r="D9" s="63" t="str">
        <f t="shared" si="1"/>
        <v>M2</v>
      </c>
      <c r="E9" s="68" t="s">
        <v>153</v>
      </c>
      <c r="F9" s="63" t="str">
        <f t="shared" si="2"/>
        <v>5000K,80Min</v>
      </c>
      <c r="G9" s="63" t="str">
        <f t="shared" si="3"/>
        <v>503M2</v>
      </c>
      <c r="H9" s="63"/>
      <c r="I9" s="63"/>
      <c r="J9" s="63">
        <v>8</v>
      </c>
      <c r="K9" s="69" t="s">
        <v>145</v>
      </c>
      <c r="L9" s="54" t="s">
        <v>94</v>
      </c>
      <c r="M9" s="68" t="s">
        <v>99</v>
      </c>
      <c r="N9" s="68" t="s">
        <v>154</v>
      </c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5" ht="16.5" hidden="1">
      <c r="A10" s="63"/>
      <c r="B10" s="68" t="s">
        <v>146</v>
      </c>
      <c r="C10" s="63" t="str">
        <f t="shared" si="0"/>
        <v>C4</v>
      </c>
      <c r="D10" s="63" t="str">
        <f t="shared" si="1"/>
        <v>M2</v>
      </c>
      <c r="E10" s="68" t="s">
        <v>153</v>
      </c>
      <c r="F10" s="63" t="str">
        <f t="shared" si="2"/>
        <v>5000K,80Min</v>
      </c>
      <c r="G10" s="63" t="str">
        <f t="shared" si="3"/>
        <v>503M2</v>
      </c>
      <c r="H10" s="63"/>
      <c r="I10" s="63"/>
      <c r="J10" s="63">
        <v>9</v>
      </c>
      <c r="K10" s="69" t="s">
        <v>145</v>
      </c>
      <c r="L10" s="54" t="s">
        <v>95</v>
      </c>
      <c r="M10" s="68" t="s">
        <v>100</v>
      </c>
      <c r="N10" s="68" t="s">
        <v>154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5" ht="16.5" hidden="1">
      <c r="A11" s="63"/>
      <c r="B11" s="68" t="s">
        <v>140</v>
      </c>
      <c r="C11" s="63" t="str">
        <f t="shared" si="0"/>
        <v>C4</v>
      </c>
      <c r="D11" s="63" t="str">
        <f t="shared" si="1"/>
        <v>M2</v>
      </c>
      <c r="E11" s="68" t="s">
        <v>153</v>
      </c>
      <c r="F11" s="63" t="str">
        <f t="shared" si="2"/>
        <v>5000K,80Min</v>
      </c>
      <c r="G11" s="63" t="str">
        <f t="shared" si="3"/>
        <v>503M2</v>
      </c>
      <c r="H11" s="63"/>
      <c r="I11" s="63"/>
      <c r="J11" s="63">
        <v>10</v>
      </c>
      <c r="K11" s="69" t="s">
        <v>145</v>
      </c>
      <c r="L11" s="54" t="s">
        <v>96</v>
      </c>
      <c r="M11" s="68" t="s">
        <v>101</v>
      </c>
      <c r="N11" s="68" t="s">
        <v>154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5" ht="16.5" hidden="1">
      <c r="A12" s="63"/>
      <c r="B12" s="68" t="s">
        <v>141</v>
      </c>
      <c r="C12" s="63" t="str">
        <f t="shared" si="0"/>
        <v>C4</v>
      </c>
      <c r="D12" s="63" t="str">
        <f t="shared" si="1"/>
        <v>M2</v>
      </c>
      <c r="E12" s="68" t="s">
        <v>153</v>
      </c>
      <c r="F12" s="63" t="str">
        <f t="shared" si="2"/>
        <v>5000K,80Min</v>
      </c>
      <c r="G12" s="63" t="str">
        <f t="shared" si="3"/>
        <v>503M2</v>
      </c>
      <c r="H12" s="63"/>
      <c r="I12" s="63"/>
      <c r="J12" s="63">
        <v>11</v>
      </c>
      <c r="K12" s="69" t="s">
        <v>145</v>
      </c>
      <c r="L12" s="54" t="s">
        <v>151</v>
      </c>
      <c r="M12" s="68" t="s">
        <v>152</v>
      </c>
      <c r="N12" s="68" t="s">
        <v>155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5" ht="16.5" hidden="1">
      <c r="A13" s="63"/>
      <c r="B13" s="68" t="s">
        <v>142</v>
      </c>
      <c r="C13" s="63" t="str">
        <f t="shared" si="0"/>
        <v>C4</v>
      </c>
      <c r="D13" s="63" t="str">
        <f t="shared" si="1"/>
        <v>M2</v>
      </c>
      <c r="E13" s="68" t="s">
        <v>153</v>
      </c>
      <c r="F13" s="63" t="str">
        <f t="shared" si="2"/>
        <v>5000K,80Min</v>
      </c>
      <c r="G13" s="63" t="str">
        <f t="shared" si="3"/>
        <v>503M2</v>
      </c>
      <c r="H13" s="63"/>
      <c r="I13" s="63"/>
      <c r="J13" s="63">
        <v>12</v>
      </c>
      <c r="K13" s="69" t="s">
        <v>145</v>
      </c>
      <c r="L13" s="54" t="s">
        <v>102</v>
      </c>
      <c r="M13" s="68" t="s">
        <v>106</v>
      </c>
      <c r="N13" s="68" t="s">
        <v>155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5" ht="16.5" hidden="1">
      <c r="A14" s="63"/>
      <c r="B14" s="68" t="s">
        <v>143</v>
      </c>
      <c r="C14" s="63" t="str">
        <f t="shared" si="0"/>
        <v>C4</v>
      </c>
      <c r="D14" s="63" t="str">
        <f t="shared" si="1"/>
        <v>M2</v>
      </c>
      <c r="E14" s="68" t="s">
        <v>153</v>
      </c>
      <c r="F14" s="63" t="str">
        <f t="shared" si="2"/>
        <v>5000K,80Min</v>
      </c>
      <c r="G14" s="63" t="str">
        <f t="shared" si="3"/>
        <v>503M2</v>
      </c>
      <c r="H14" s="63"/>
      <c r="I14" s="63"/>
      <c r="J14" s="63">
        <v>13</v>
      </c>
      <c r="K14" s="69" t="s">
        <v>145</v>
      </c>
      <c r="L14" s="54" t="s">
        <v>103</v>
      </c>
      <c r="M14" s="68" t="s">
        <v>107</v>
      </c>
      <c r="N14" s="68" t="s">
        <v>155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5" ht="16.5" hidden="1">
      <c r="A15" s="63"/>
      <c r="B15" s="68" t="s">
        <v>144</v>
      </c>
      <c r="C15" s="63" t="str">
        <f t="shared" si="0"/>
        <v>C4</v>
      </c>
      <c r="D15" s="63" t="str">
        <f t="shared" si="1"/>
        <v>M2</v>
      </c>
      <c r="E15" s="68" t="s">
        <v>153</v>
      </c>
      <c r="F15" s="63" t="str">
        <f t="shared" si="2"/>
        <v>5000K,80Min</v>
      </c>
      <c r="G15" s="63" t="str">
        <f t="shared" si="3"/>
        <v>503M2</v>
      </c>
      <c r="H15" s="63"/>
      <c r="I15" s="63"/>
      <c r="J15" s="63">
        <v>14</v>
      </c>
      <c r="K15" s="69" t="s">
        <v>145</v>
      </c>
      <c r="L15" s="54" t="s">
        <v>104</v>
      </c>
      <c r="M15" s="68" t="s">
        <v>108</v>
      </c>
      <c r="N15" s="68" t="s">
        <v>155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5" ht="16.5" hidden="1">
      <c r="A16" s="63"/>
      <c r="B16" s="63"/>
      <c r="C16" s="63"/>
      <c r="D16" s="63"/>
      <c r="E16" s="63"/>
      <c r="F16" s="63"/>
      <c r="G16" s="63"/>
      <c r="H16" s="63"/>
      <c r="I16" s="63"/>
      <c r="J16" s="63">
        <v>15</v>
      </c>
      <c r="K16" s="69" t="s">
        <v>145</v>
      </c>
      <c r="L16" s="54" t="s">
        <v>105</v>
      </c>
      <c r="M16" s="68" t="s">
        <v>109</v>
      </c>
      <c r="N16" s="68" t="s">
        <v>155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5" ht="16.5" hidden="1">
      <c r="A17" s="63"/>
      <c r="B17" s="63"/>
      <c r="C17" s="63"/>
      <c r="D17" s="63"/>
      <c r="E17" s="63"/>
      <c r="F17" s="63"/>
      <c r="G17" s="63"/>
      <c r="H17" s="63"/>
      <c r="I17" s="63"/>
      <c r="J17" s="63">
        <v>16</v>
      </c>
      <c r="K17" s="69" t="s">
        <v>145</v>
      </c>
      <c r="L17" s="54" t="s">
        <v>113</v>
      </c>
      <c r="M17" s="68" t="s">
        <v>110</v>
      </c>
      <c r="N17" s="68" t="s">
        <v>155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1:25" ht="16.5" hidden="1">
      <c r="A18" s="63"/>
      <c r="B18" s="63"/>
      <c r="C18" s="63"/>
      <c r="D18" s="63"/>
      <c r="E18" s="63"/>
      <c r="F18" s="63"/>
      <c r="G18" s="63"/>
      <c r="H18" s="63"/>
      <c r="I18" s="63"/>
      <c r="J18" s="63">
        <v>17</v>
      </c>
      <c r="K18" s="69" t="s">
        <v>145</v>
      </c>
      <c r="L18" s="54" t="s">
        <v>114</v>
      </c>
      <c r="M18" s="68" t="s">
        <v>111</v>
      </c>
      <c r="N18" s="68" t="s">
        <v>155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5" ht="16.5" hidden="1">
      <c r="A19" s="63"/>
      <c r="B19" s="63"/>
      <c r="C19" s="63"/>
      <c r="D19" s="63"/>
      <c r="E19" s="63"/>
      <c r="F19" s="63"/>
      <c r="G19" s="63"/>
      <c r="H19" s="63"/>
      <c r="I19" s="63"/>
      <c r="J19" s="63">
        <v>18</v>
      </c>
      <c r="K19" s="69" t="s">
        <v>145</v>
      </c>
      <c r="L19" s="54" t="s">
        <v>115</v>
      </c>
      <c r="M19" s="68" t="s">
        <v>112</v>
      </c>
      <c r="N19" s="68" t="s">
        <v>155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spans="1:25" ht="16.5" hidden="1">
      <c r="A20" s="63"/>
      <c r="B20" s="63"/>
      <c r="C20" s="63"/>
      <c r="D20" s="63"/>
      <c r="E20" s="63"/>
      <c r="F20" s="63"/>
      <c r="G20" s="63"/>
      <c r="H20" s="63"/>
      <c r="I20" s="63"/>
      <c r="J20" s="63">
        <v>19</v>
      </c>
      <c r="K20" s="69" t="s">
        <v>145</v>
      </c>
      <c r="L20" s="54" t="s">
        <v>119</v>
      </c>
      <c r="M20" s="68" t="s">
        <v>116</v>
      </c>
      <c r="N20" s="68" t="s">
        <v>157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spans="1:25" ht="16.5" hidden="1">
      <c r="A21" s="63"/>
      <c r="B21" s="63"/>
      <c r="C21" s="63"/>
      <c r="D21" s="63"/>
      <c r="E21" s="63"/>
      <c r="F21" s="63"/>
      <c r="G21" s="63"/>
      <c r="H21" s="63"/>
      <c r="I21" s="63"/>
      <c r="J21" s="63">
        <v>20</v>
      </c>
      <c r="K21" s="69" t="s">
        <v>145</v>
      </c>
      <c r="L21" s="54" t="s">
        <v>120</v>
      </c>
      <c r="M21" s="68" t="s">
        <v>117</v>
      </c>
      <c r="N21" s="68" t="s">
        <v>157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5" ht="16.5" hidden="1">
      <c r="A22" s="63"/>
      <c r="B22" s="63"/>
      <c r="C22" s="63"/>
      <c r="D22" s="63"/>
      <c r="E22" s="63"/>
      <c r="F22" s="63"/>
      <c r="G22" s="63"/>
      <c r="H22" s="63"/>
      <c r="I22" s="63"/>
      <c r="J22" s="63">
        <v>21</v>
      </c>
      <c r="K22" s="69" t="s">
        <v>145</v>
      </c>
      <c r="L22" s="54" t="s">
        <v>121</v>
      </c>
      <c r="M22" s="68" t="s">
        <v>118</v>
      </c>
      <c r="N22" s="68" t="s">
        <v>157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5" ht="16.5" hidden="1">
      <c r="A23" s="63"/>
      <c r="B23" s="63"/>
      <c r="C23" s="63"/>
      <c r="D23" s="63"/>
      <c r="E23" s="63"/>
      <c r="F23" s="63"/>
      <c r="G23" s="63"/>
      <c r="H23" s="63"/>
      <c r="I23" s="63"/>
      <c r="J23" s="63"/>
      <c r="L23" s="54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5" ht="16.5" hidden="1">
      <c r="A24" s="63"/>
      <c r="B24" s="63"/>
      <c r="C24" s="63"/>
      <c r="D24" s="63"/>
      <c r="E24" s="63"/>
      <c r="F24" s="63"/>
      <c r="G24" s="63"/>
      <c r="H24" s="63"/>
      <c r="I24" s="63"/>
      <c r="K24" s="54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5" ht="16.5" hidden="1">
      <c r="A25" s="63"/>
      <c r="B25" s="63"/>
      <c r="C25" s="63"/>
      <c r="D25" s="63"/>
      <c r="E25" s="63"/>
      <c r="F25" s="63"/>
      <c r="G25" s="63"/>
      <c r="H25" s="63"/>
      <c r="I25" s="63"/>
      <c r="K25" s="54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5" ht="16.5" hidden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5" ht="16.5" hidden="1">
      <c r="A27" s="63">
        <v>1</v>
      </c>
      <c r="B27" s="71" t="s">
        <v>25</v>
      </c>
      <c r="C27" s="63" t="s">
        <v>26</v>
      </c>
      <c r="D27" s="63" t="s">
        <v>85</v>
      </c>
      <c r="E27" s="63" t="s">
        <v>70</v>
      </c>
      <c r="F27" s="63" t="s">
        <v>71</v>
      </c>
      <c r="G27" s="63" t="s">
        <v>27</v>
      </c>
      <c r="H27" s="63" t="s">
        <v>28</v>
      </c>
      <c r="I27" s="63" t="s">
        <v>29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ht="16.5" hidden="1">
      <c r="A28" s="63">
        <v>2</v>
      </c>
      <c r="B28" s="71" t="s">
        <v>30</v>
      </c>
      <c r="C28" s="63" t="s">
        <v>31</v>
      </c>
      <c r="D28" s="63" t="s">
        <v>86</v>
      </c>
      <c r="E28" s="63" t="s">
        <v>70</v>
      </c>
      <c r="F28" s="63" t="s">
        <v>71</v>
      </c>
      <c r="G28" s="63" t="s">
        <v>27</v>
      </c>
      <c r="H28" s="63" t="s">
        <v>0</v>
      </c>
      <c r="I28" s="63" t="s">
        <v>32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ht="16.5" hidden="1">
      <c r="A29" s="63">
        <v>3</v>
      </c>
      <c r="B29" s="63"/>
      <c r="C29" s="63" t="s">
        <v>29</v>
      </c>
      <c r="D29" s="63" t="s">
        <v>78</v>
      </c>
      <c r="E29" s="63" t="s">
        <v>77</v>
      </c>
      <c r="F29" s="63" t="s">
        <v>0</v>
      </c>
      <c r="G29" s="63" t="s">
        <v>33</v>
      </c>
      <c r="H29" s="63" t="s">
        <v>0</v>
      </c>
      <c r="I29" s="63" t="s">
        <v>34</v>
      </c>
      <c r="J29" s="71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ht="16.5" hidden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5" ht="16.5" hidden="1">
      <c r="A31" s="7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5" ht="16.5" hidden="1">
      <c r="A32" s="63"/>
      <c r="B32" s="63"/>
      <c r="C32" s="63" t="s">
        <v>35</v>
      </c>
      <c r="D32" s="63"/>
      <c r="E32" s="63"/>
      <c r="F32" s="63"/>
      <c r="G32" s="63"/>
      <c r="H32" s="63" t="s">
        <v>36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7" ht="16.5" hidden="1">
      <c r="A33" s="63"/>
      <c r="B33" s="63"/>
      <c r="C33" s="73" t="str">
        <f>C27</f>
        <v>If (mA)</v>
      </c>
      <c r="D33" s="73" t="str">
        <f>D27</f>
        <v>Vf (V)</v>
      </c>
      <c r="E33" s="73" t="str">
        <f t="shared" ref="E33:F33" si="4">E27</f>
        <v>Vf_min (V)</v>
      </c>
      <c r="F33" s="73" t="str">
        <f t="shared" si="4"/>
        <v>Vf_max (V)</v>
      </c>
      <c r="G33" s="73" t="str">
        <f>G27</f>
        <v>Pd (W)</v>
      </c>
      <c r="H33" s="73" t="str">
        <f>H27</f>
        <v>lm/W</v>
      </c>
      <c r="I33" s="73" t="str">
        <f>Simulator!M9</f>
        <v>Tj (C)</v>
      </c>
      <c r="J33" s="74" t="str">
        <f>C28</f>
        <v>φv (lm)</v>
      </c>
      <c r="K33" s="74" t="str">
        <f>D28</f>
        <v>Vf (V)</v>
      </c>
      <c r="L33" s="74" t="str">
        <f t="shared" ref="L33:M33" si="5">E28</f>
        <v>Vf_min (V)</v>
      </c>
      <c r="M33" s="74" t="str">
        <f t="shared" si="5"/>
        <v>Vf_max (V)</v>
      </c>
      <c r="N33" s="74" t="str">
        <f>G28</f>
        <v>Pd (W)</v>
      </c>
      <c r="O33" s="74" t="str">
        <f>H28</f>
        <v>lm/W</v>
      </c>
      <c r="P33" s="74" t="str">
        <f>Simulator!M9</f>
        <v>Tj (C)</v>
      </c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ht="16.5" hidden="1">
      <c r="A34" s="63"/>
      <c r="B34" s="63"/>
      <c r="C34" s="73" t="str">
        <f>CONCATENATE($A27,C27)</f>
        <v>1If (mA)</v>
      </c>
      <c r="D34" s="73" t="str">
        <f>CONCATENATE($A27,D27)</f>
        <v>1Vf (V)</v>
      </c>
      <c r="E34" s="73" t="str">
        <f t="shared" ref="E34:F34" si="6">CONCATENATE($A27,E27)</f>
        <v>1Vf_min (V)</v>
      </c>
      <c r="F34" s="73" t="str">
        <f t="shared" si="6"/>
        <v>1Vf_max (V)</v>
      </c>
      <c r="G34" s="73" t="str">
        <f>CONCATENATE($A27,G27)</f>
        <v>1Pd (W)</v>
      </c>
      <c r="H34" s="73" t="str">
        <f>CONCATENATE($A27,H27)</f>
        <v>1lm/W</v>
      </c>
      <c r="I34" s="73" t="str">
        <f>CONCATENATE($A27,I33)</f>
        <v>1Tj (C)</v>
      </c>
      <c r="J34" s="74" t="str">
        <f>CONCATENATE($A28,C28)</f>
        <v>2φv (lm)</v>
      </c>
      <c r="K34" s="74" t="str">
        <f>CONCATENATE($A28,D28)</f>
        <v>2Vf (V)</v>
      </c>
      <c r="L34" s="74" t="str">
        <f t="shared" ref="L34:M34" si="7">CONCATENATE($A28,E28)</f>
        <v>2Vf_min (V)</v>
      </c>
      <c r="M34" s="74" t="str">
        <f t="shared" si="7"/>
        <v>2Vf_max (V)</v>
      </c>
      <c r="N34" s="74" t="str">
        <f>CONCATENATE($A28,G28)</f>
        <v>2Pd (W)</v>
      </c>
      <c r="O34" s="74" t="str">
        <f>CONCATENATE($A28,H28)</f>
        <v>2lm/W</v>
      </c>
      <c r="P34" s="74" t="str">
        <f>CONCATENATE($A28,P33)</f>
        <v>2Tj (C)</v>
      </c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ht="16.5" hidden="1">
      <c r="A35" s="63"/>
      <c r="B35" s="63" t="str">
        <f t="shared" ref="B35:B48" si="8">B2</f>
        <v>CLU028-1201C4</v>
      </c>
      <c r="C35" s="75" t="str">
        <f>IF(Calculation!U113,Calculation!N87,"Not Applicable")</f>
        <v>Not Applicable</v>
      </c>
      <c r="D35" s="76" t="str">
        <f>IF(Calculation!U113,Calculation!R87,"Not Applicable")</f>
        <v>Not Applicable</v>
      </c>
      <c r="E35" s="76" t="str">
        <f>IF(Calculation!U113,Calculation!P87,"Not Applicable")</f>
        <v>Not Applicable</v>
      </c>
      <c r="F35" s="76" t="str">
        <f>IF(Calculation!U113,Calculation!Q87,"Not Applicable")</f>
        <v>Not Applicable</v>
      </c>
      <c r="G35" s="76" t="str">
        <f>IF(Calculation!U113,Calculation!S87,"Not Applicable")</f>
        <v>Not Applicable</v>
      </c>
      <c r="H35" s="76" t="str">
        <f>IF(Calculation!U113,Calculation!U87,"Not Applicable")</f>
        <v>Not Applicable</v>
      </c>
      <c r="I35" s="76" t="str">
        <f>IF(Calculation!W113,Calculation!X87,"Not Applicable")</f>
        <v>Not Applicable</v>
      </c>
      <c r="J35" s="75" t="str">
        <f>IF(Calculation!U173,Calculation!N147,"Not Applicable")</f>
        <v>Not Applicable</v>
      </c>
      <c r="K35" s="76" t="str">
        <f>IF(Calculation!U173,Calculation!R147,"Not Applicable")</f>
        <v>Not Applicable</v>
      </c>
      <c r="L35" s="76" t="str">
        <f>IF(Calculation!U173,Calculation!P147,"Not Applicable")</f>
        <v>Not Applicable</v>
      </c>
      <c r="M35" s="76" t="str">
        <f>IF(Calculation!U173,Calculation!Q147,"Not Applicable")</f>
        <v>Not Applicable</v>
      </c>
      <c r="N35" s="76" t="str">
        <f>IF(Calculation!U173,Calculation!S147,"Not Applicable")</f>
        <v>Not Applicable</v>
      </c>
      <c r="O35" s="76" t="str">
        <f>IF(Calculation!U173,Calculation!U147,"Not Applicable")</f>
        <v>Not Applicable</v>
      </c>
      <c r="P35" s="76" t="str">
        <f>IF(Calculation!W173,Calculation!X147,"Not Applicable")</f>
        <v>Not Applicable</v>
      </c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16.5" hidden="1">
      <c r="A36" s="63"/>
      <c r="B36" s="63" t="str">
        <f t="shared" si="8"/>
        <v>CLU028-1202C4</v>
      </c>
      <c r="C36" s="75">
        <f>IF(Calculation!U114,Calculation!N88,"Not Applicable")</f>
        <v>244.71641630901584</v>
      </c>
      <c r="D36" s="76">
        <f>IF(Calculation!U114,Calculation!R88,"Not Applicable")</f>
        <v>36.317856848798421</v>
      </c>
      <c r="E36" s="76">
        <f>IF(Calculation!U114,Calculation!P88,"Not Applicable")</f>
        <v>33.412428301584136</v>
      </c>
      <c r="F36" s="76">
        <f>IF(Calculation!U114,Calculation!Q88,"Not Applicable")</f>
        <v>39.223285397511816</v>
      </c>
      <c r="G36" s="76">
        <f>IF(Calculation!U114,Calculation!S88,"Not Applicable")</f>
        <v>8.8875757760617962</v>
      </c>
      <c r="H36" s="76">
        <f>IF(Calculation!U114,Calculation!U88,"Not Applicable")</f>
        <v>157.52327015549326</v>
      </c>
      <c r="I36" s="76">
        <f>IF(Calculation!W114,Calculation!X88,"Not Applicable")</f>
        <v>38.331363664092692</v>
      </c>
      <c r="J36" s="75" t="str">
        <f>IF(Calculation!U174,Calculation!N148,"Not Applicable")</f>
        <v>Not Applicable</v>
      </c>
      <c r="K36" s="76" t="str">
        <f>IF(Calculation!U174,Calculation!R148,"Not Applicable")</f>
        <v>Not Applicable</v>
      </c>
      <c r="L36" s="76" t="str">
        <f>IF(Calculation!U174,Calculation!P148,"Not Applicable")</f>
        <v>Not Applicable</v>
      </c>
      <c r="M36" s="76" t="str">
        <f>IF(Calculation!U174,Calculation!Q148,"Not Applicable")</f>
        <v>Not Applicable</v>
      </c>
      <c r="N36" s="76" t="str">
        <f>IF(Calculation!U174,Calculation!S148,"Not Applicable")</f>
        <v>Not Applicable</v>
      </c>
      <c r="O36" s="76" t="str">
        <f>IF(Calculation!U174,Calculation!U148,"Not Applicable")</f>
        <v>Not Applicable</v>
      </c>
      <c r="P36" s="76" t="str">
        <f>IF(Calculation!W174,Calculation!X148,"Not Applicable")</f>
        <v>Not Applicable</v>
      </c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16.5" hidden="1">
      <c r="A37" s="63"/>
      <c r="B37" s="63" t="str">
        <f t="shared" si="8"/>
        <v>CLU028-1203C4</v>
      </c>
      <c r="C37" s="75">
        <f>IF(Calculation!U115,Calculation!N89,"Not Applicable")</f>
        <v>238.9943745564029</v>
      </c>
      <c r="D37" s="76">
        <f>IF(Calculation!U115,Calculation!R89,"Not Applicable")</f>
        <v>34.815205999101586</v>
      </c>
      <c r="E37" s="76">
        <f>IF(Calculation!U115,Calculation!P89,"Not Applicable")</f>
        <v>32.029989519834515</v>
      </c>
      <c r="F37" s="76">
        <f>IF(Calculation!U115,Calculation!Q89,"Not Applicable")</f>
        <v>37.600422479805736</v>
      </c>
      <c r="G37" s="76">
        <f>IF(Calculation!U115,Calculation!S89,"Not Applicable")</f>
        <v>8.3206383828076103</v>
      </c>
      <c r="H37" s="76">
        <f>IF(Calculation!U115,Calculation!U89,"Not Applicable")</f>
        <v>168.25632068000073</v>
      </c>
      <c r="I37" s="76">
        <f>IF(Calculation!W115,Calculation!X89,"Not Applicable")</f>
        <v>33.320638382807608</v>
      </c>
      <c r="J37" s="75" t="str">
        <f>IF(Calculation!U175,Calculation!N149,"Not Applicable")</f>
        <v>Not Applicable</v>
      </c>
      <c r="K37" s="76" t="str">
        <f>IF(Calculation!U175,Calculation!R149,"Not Applicable")</f>
        <v>Not Applicable</v>
      </c>
      <c r="L37" s="76" t="str">
        <f>IF(Calculation!U175,Calculation!P149,"Not Applicable")</f>
        <v>Not Applicable</v>
      </c>
      <c r="M37" s="76" t="str">
        <f>IF(Calculation!U175,Calculation!Q149,"Not Applicable")</f>
        <v>Not Applicable</v>
      </c>
      <c r="N37" s="76" t="str">
        <f>IF(Calculation!U175,Calculation!S149,"Not Applicable")</f>
        <v>Not Applicable</v>
      </c>
      <c r="O37" s="76" t="str">
        <f>IF(Calculation!U175,Calculation!U149,"Not Applicable")</f>
        <v>Not Applicable</v>
      </c>
      <c r="P37" s="76" t="str">
        <f>IF(Calculation!W175,Calculation!X149,"Not Applicable")</f>
        <v>Not Applicable</v>
      </c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ht="16.5" hidden="1">
      <c r="A38" s="63"/>
      <c r="B38" s="63" t="str">
        <f t="shared" si="8"/>
        <v>CLU028-1204C4</v>
      </c>
      <c r="C38" s="75">
        <f>IF(Calculation!U116,Calculation!N90,"Not Applicable")</f>
        <v>239.33391503843509</v>
      </c>
      <c r="D38" s="76">
        <f>IF(Calculation!U116,Calculation!R90,"Not Applicable")</f>
        <v>34.017940417518702</v>
      </c>
      <c r="E38" s="76">
        <f>IF(Calculation!U116,Calculation!P90,"Not Applicable")</f>
        <v>31.29650518476312</v>
      </c>
      <c r="F38" s="76">
        <f>IF(Calculation!U116,Calculation!Q90,"Not Applicable")</f>
        <v>36.739375651678444</v>
      </c>
      <c r="G38" s="76">
        <f>IF(Calculation!U116,Calculation!S90,"Not Applicable")</f>
        <v>8.1416468616689688</v>
      </c>
      <c r="H38" s="76">
        <f>IF(Calculation!U116,Calculation!U90,"Not Applicable")</f>
        <v>171.95538246582854</v>
      </c>
      <c r="I38" s="76">
        <f>IF(Calculation!W116,Calculation!X90,"Not Applicable")</f>
        <v>32.001816301035312</v>
      </c>
      <c r="J38" s="75" t="str">
        <f>IF(Calculation!U176,Calculation!N150,"Not Applicable")</f>
        <v>Not Applicable</v>
      </c>
      <c r="K38" s="76" t="str">
        <f>IF(Calculation!U176,Calculation!R150,"Not Applicable")</f>
        <v>Not Applicable</v>
      </c>
      <c r="L38" s="76" t="str">
        <f>IF(Calculation!U176,Calculation!P150,"Not Applicable")</f>
        <v>Not Applicable</v>
      </c>
      <c r="M38" s="76" t="str">
        <f>IF(Calculation!U176,Calculation!Q150,"Not Applicable")</f>
        <v>Not Applicable</v>
      </c>
      <c r="N38" s="76" t="str">
        <f>IF(Calculation!U176,Calculation!S150,"Not Applicable")</f>
        <v>Not Applicable</v>
      </c>
      <c r="O38" s="76" t="str">
        <f>IF(Calculation!U176,Calculation!U150,"Not Applicable")</f>
        <v>Not Applicable</v>
      </c>
      <c r="P38" s="76" t="str">
        <f>IF(Calculation!W176,Calculation!X150,"Not Applicable")</f>
        <v>Not Applicable</v>
      </c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16.5" hidden="1">
      <c r="A39" s="63"/>
      <c r="B39" s="63" t="str">
        <f t="shared" si="8"/>
        <v>CLU038-1205C4</v>
      </c>
      <c r="C39" s="75">
        <f>IF(Calculation!U117,Calculation!N91,"Not Applicable")</f>
        <v>225.5927038661504</v>
      </c>
      <c r="D39" s="76">
        <f>IF(Calculation!U117,Calculation!R91,"Not Applicable")</f>
        <v>33.417605069403166</v>
      </c>
      <c r="E39" s="76">
        <f>IF(Calculation!U117,Calculation!P91,"Not Applicable")</f>
        <v>30.744196664485433</v>
      </c>
      <c r="F39" s="76">
        <f>IF(Calculation!U117,Calculation!Q91,"Not Applicable")</f>
        <v>36.091013475700294</v>
      </c>
      <c r="G39" s="76">
        <f>IF(Calculation!U117,Calculation!S91,"Not Applicable")</f>
        <v>7.5387678843378341</v>
      </c>
      <c r="H39" s="76">
        <f>IF(Calculation!U117,Calculation!U91,"Not Applicable")</f>
        <v>185.70673901614211</v>
      </c>
      <c r="I39" s="76">
        <f>IF(Calculation!W117,Calculation!X91,"Not Applicable")</f>
        <v>30.126362161349729</v>
      </c>
      <c r="J39" s="75" t="str">
        <f>IF(Calculation!U177,Calculation!N151,"Not Applicable")</f>
        <v>Not Applicable</v>
      </c>
      <c r="K39" s="76" t="str">
        <f>IF(Calculation!U177,Calculation!R151,"Not Applicable")</f>
        <v>Not Applicable</v>
      </c>
      <c r="L39" s="76" t="str">
        <f>IF(Calculation!U177,Calculation!P151,"Not Applicable")</f>
        <v>Not Applicable</v>
      </c>
      <c r="M39" s="76" t="str">
        <f>IF(Calculation!U177,Calculation!Q151,"Not Applicable")</f>
        <v>Not Applicable</v>
      </c>
      <c r="N39" s="76" t="str">
        <f>IF(Calculation!U177,Calculation!S151,"Not Applicable")</f>
        <v>Not Applicable</v>
      </c>
      <c r="O39" s="76" t="str">
        <f>IF(Calculation!U177,Calculation!U151,"Not Applicable")</f>
        <v>Not Applicable</v>
      </c>
      <c r="P39" s="76" t="str">
        <f>IF(Calculation!W177,Calculation!X151,"Not Applicable")</f>
        <v>Not Applicable</v>
      </c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16.5" hidden="1">
      <c r="A40" s="63"/>
      <c r="B40" s="63" t="str">
        <f t="shared" si="8"/>
        <v>CLU038-1206C4</v>
      </c>
      <c r="C40" s="75">
        <f>IF(Calculation!U118,Calculation!N92,"Not Applicable")</f>
        <v>226.55344545989814</v>
      </c>
      <c r="D40" s="76">
        <f>IF(Calculation!U118,Calculation!R92,"Not Applicable")</f>
        <v>33.091802430086766</v>
      </c>
      <c r="E40" s="76">
        <f>IF(Calculation!U118,Calculation!P92,"Not Applicable")</f>
        <v>30.444458236308154</v>
      </c>
      <c r="F40" s="76">
        <f>IF(Calculation!U118,Calculation!Q92,"Not Applicable")</f>
        <v>35.739146625231314</v>
      </c>
      <c r="G40" s="76">
        <f>IF(Calculation!U118,Calculation!S92,"Not Applicable")</f>
        <v>7.497061857014387</v>
      </c>
      <c r="H40" s="76">
        <f>IF(Calculation!U118,Calculation!U92,"Not Applicable")</f>
        <v>186.73982243992486</v>
      </c>
      <c r="I40" s="76">
        <f>IF(Calculation!W118,Calculation!X92,"Not Applicable")</f>
        <v>29.573207732778776</v>
      </c>
      <c r="J40" s="75" t="str">
        <f>IF(Calculation!U178,Calculation!N152,"Not Applicable")</f>
        <v>Not Applicable</v>
      </c>
      <c r="K40" s="76" t="str">
        <f>IF(Calculation!U178,Calculation!R152,"Not Applicable")</f>
        <v>Not Applicable</v>
      </c>
      <c r="L40" s="76" t="str">
        <f>IF(Calculation!U178,Calculation!P152,"Not Applicable")</f>
        <v>Not Applicable</v>
      </c>
      <c r="M40" s="76" t="str">
        <f>IF(Calculation!U178,Calculation!Q152,"Not Applicable")</f>
        <v>Not Applicable</v>
      </c>
      <c r="N40" s="76" t="str">
        <f>IF(Calculation!U178,Calculation!S152,"Not Applicable")</f>
        <v>Not Applicable</v>
      </c>
      <c r="O40" s="76" t="str">
        <f>IF(Calculation!U178,Calculation!U152,"Not Applicable")</f>
        <v>Not Applicable</v>
      </c>
      <c r="P40" s="76" t="str">
        <f>IF(Calculation!W178,Calculation!X152,"Not Applicable")</f>
        <v>Not Applicable</v>
      </c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ht="16.5" hidden="1">
      <c r="A41" s="63"/>
      <c r="B41" s="63" t="str">
        <f t="shared" si="8"/>
        <v>CLU038-1208C4</v>
      </c>
      <c r="C41" s="75">
        <f>IF(Calculation!U119,Calculation!N93,"Not Applicable")</f>
        <v>229.04959415970711</v>
      </c>
      <c r="D41" s="76">
        <f>IF(Calculation!U119,Calculation!R93,"Not Applicable")</f>
        <v>32.687059334752313</v>
      </c>
      <c r="E41" s="76">
        <f>IF(Calculation!U119,Calculation!P93,"Not Applicable")</f>
        <v>30.072094588592776</v>
      </c>
      <c r="F41" s="76">
        <f>IF(Calculation!U119,Calculation!Q93,"Not Applicable")</f>
        <v>35.302024082261084</v>
      </c>
      <c r="G41" s="76">
        <f>IF(Calculation!U119,Calculation!S93,"Not Applicable")</f>
        <v>7.4869576748992834</v>
      </c>
      <c r="H41" s="76">
        <f>IF(Calculation!U119,Calculation!U93,"Not Applicable")</f>
        <v>186.99184111773855</v>
      </c>
      <c r="I41" s="76">
        <f>IF(Calculation!W119,Calculation!X93,"Not Applicable")</f>
        <v>28.593739683951657</v>
      </c>
      <c r="J41" s="75">
        <f>IF(Calculation!U179,Calculation!N153,"Not Applicable")</f>
        <v>7421.1456173048282</v>
      </c>
      <c r="K41" s="76">
        <f>IF(Calculation!U179,Calculation!R153,"Not Applicable")</f>
        <v>37.817322067077754</v>
      </c>
      <c r="L41" s="76">
        <f>IF(Calculation!U179,Calculation!P153,"Not Applicable")</f>
        <v>34.791936301711537</v>
      </c>
      <c r="M41" s="76">
        <f>IF(Calculation!U179,Calculation!Q153,"Not Applicable")</f>
        <v>40.842707832443978</v>
      </c>
      <c r="N41" s="76">
        <f>IF(Calculation!U179,Calculation!S153,"Not Applicable")</f>
        <v>52.944250893908858</v>
      </c>
      <c r="O41" s="76">
        <f>IF(Calculation!U179,Calculation!U153,"Not Applicable")</f>
        <v>140.16905503442712</v>
      </c>
      <c r="P41" s="76">
        <f>IF(Calculation!W179,Calculation!X153,"Not Applicable")</f>
        <v>50.413240429076254</v>
      </c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16.5" hidden="1">
      <c r="A42" s="63"/>
      <c r="B42" s="63" t="str">
        <f t="shared" si="8"/>
        <v>CLU038-1210C4</v>
      </c>
      <c r="C42" s="75">
        <f>IF(Calculation!U120,Calculation!N94,"Not Applicable")</f>
        <v>229.4579833499823</v>
      </c>
      <c r="D42" s="76">
        <f>IF(Calculation!U120,Calculation!R94,"Not Applicable")</f>
        <v>32.4273533855499</v>
      </c>
      <c r="E42" s="76">
        <f>IF(Calculation!U120,Calculation!P94,"Not Applicable")</f>
        <v>29.833165115321624</v>
      </c>
      <c r="F42" s="76">
        <f>IF(Calculation!U120,Calculation!Q94,"Not Applicable")</f>
        <v>35.021541657116686</v>
      </c>
      <c r="G42" s="76">
        <f>IF(Calculation!U120,Calculation!S94,"Not Applicable")</f>
        <v>7.4407151132255009</v>
      </c>
      <c r="H42" s="76">
        <f>IF(Calculation!U120,Calculation!U94,"Not Applicable")</f>
        <v>188.15395814732506</v>
      </c>
      <c r="I42" s="76">
        <f>IF(Calculation!W120,Calculation!X94,"Not Applicable")</f>
        <v>27.976286045290202</v>
      </c>
      <c r="J42" s="75">
        <f>IF(Calculation!U180,Calculation!N154,"Not Applicable")</f>
        <v>7595.091997844358</v>
      </c>
      <c r="K42" s="76">
        <f>IF(Calculation!U180,Calculation!R154,"Not Applicable")</f>
        <v>36.812412094795746</v>
      </c>
      <c r="L42" s="76">
        <f>IF(Calculation!U180,Calculation!P154,"Not Applicable")</f>
        <v>33.867419127212088</v>
      </c>
      <c r="M42" s="76">
        <f>IF(Calculation!U180,Calculation!Q154,"Not Applicable")</f>
        <v>39.757405062379412</v>
      </c>
      <c r="N42" s="76">
        <f>IF(Calculation!U180,Calculation!S154,"Not Applicable")</f>
        <v>51.537376932714047</v>
      </c>
      <c r="O42" s="76">
        <f>IF(Calculation!U180,Calculation!U154,"Not Applicable")</f>
        <v>147.37055802743564</v>
      </c>
      <c r="P42" s="76">
        <f>IF(Calculation!W180,Calculation!X154,"Not Applicable")</f>
        <v>45.614950773085624</v>
      </c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6.5" hidden="1">
      <c r="A43" s="63"/>
      <c r="B43" s="63" t="str">
        <f t="shared" si="8"/>
        <v>CLU048-1211C4</v>
      </c>
      <c r="C43" s="75">
        <f>IF(Calculation!U121,Calculation!N95,"Not Applicable")</f>
        <v>219.78979487298443</v>
      </c>
      <c r="D43" s="76">
        <f>IF(Calculation!U121,Calculation!R95,"Not Applicable")</f>
        <v>32.2973430784741</v>
      </c>
      <c r="E43" s="76">
        <f>IF(Calculation!U121,Calculation!P95,"Not Applicable")</f>
        <v>29.71355563280942</v>
      </c>
      <c r="F43" s="76">
        <f>IF(Calculation!U121,Calculation!Q95,"Not Applicable")</f>
        <v>34.881130525471931</v>
      </c>
      <c r="G43" s="76">
        <f>IF(Calculation!U121,Calculation!S95,"Not Applicable")</f>
        <v>7.0986264101602252</v>
      </c>
      <c r="H43" s="76">
        <f>IF(Calculation!U121,Calculation!U95,"Not Applicable")</f>
        <v>197.22125367749845</v>
      </c>
      <c r="I43" s="76">
        <f>IF(Calculation!W121,Calculation!X95,"Not Applicable")</f>
        <v>27.555505507657681</v>
      </c>
      <c r="J43" s="75">
        <f>IF(Calculation!U181,Calculation!N155,"Not Applicable")</f>
        <v>7998.5090011177354</v>
      </c>
      <c r="K43" s="76">
        <f>IF(Calculation!U181,Calculation!R155,"Not Applicable")</f>
        <v>36.417166712317723</v>
      </c>
      <c r="L43" s="76">
        <f>IF(Calculation!U181,Calculation!P155,"Not Applicable")</f>
        <v>33.503793375332307</v>
      </c>
      <c r="M43" s="76">
        <f>IF(Calculation!U181,Calculation!Q155,"Not Applicable")</f>
        <v>39.330540049303146</v>
      </c>
      <c r="N43" s="76">
        <f>IF(Calculation!U181,Calculation!S155,"Not Applicable")</f>
        <v>50.984033397244815</v>
      </c>
      <c r="O43" s="76">
        <f>IF(Calculation!U181,Calculation!U155,"Not Applicable")</f>
        <v>156.88262517005913</v>
      </c>
      <c r="P43" s="76">
        <f>IF(Calculation!W181,Calculation!X155,"Not Applicable")</f>
        <v>43.354252023008129</v>
      </c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16.5" hidden="1">
      <c r="A44" s="63"/>
      <c r="B44" s="63" t="str">
        <f t="shared" si="8"/>
        <v>CLU048-1212C4</v>
      </c>
      <c r="C44" s="75">
        <f>IF(Calculation!U122,Calculation!N96,"Not Applicable")</f>
        <v>219.23794833244901</v>
      </c>
      <c r="D44" s="76">
        <f>IF(Calculation!U122,Calculation!R96,"Not Applicable")</f>
        <v>32.227221898586379</v>
      </c>
      <c r="E44" s="76">
        <f>IF(Calculation!U122,Calculation!P96,"Not Applicable")</f>
        <v>29.649044147311386</v>
      </c>
      <c r="F44" s="76">
        <f>IF(Calculation!U122,Calculation!Q96,"Not Applicable")</f>
        <v>34.805399651191628</v>
      </c>
      <c r="G44" s="76">
        <f>IF(Calculation!U122,Calculation!S96,"Not Applicable")</f>
        <v>7.0654300095006501</v>
      </c>
      <c r="H44" s="76">
        <f>IF(Calculation!U122,Calculation!U96,"Not Applicable")</f>
        <v>198.14788316032659</v>
      </c>
      <c r="I44" s="76">
        <f>IF(Calculation!W122,Calculation!X96,"Not Applicable")</f>
        <v>27.260937603040208</v>
      </c>
      <c r="J44" s="75">
        <f>IF(Calculation!U182,Calculation!N156,"Not Applicable")</f>
        <v>8084.9617995337358</v>
      </c>
      <c r="K44" s="76">
        <f>IF(Calculation!U182,Calculation!R156,"Not Applicable")</f>
        <v>36.078421285199887</v>
      </c>
      <c r="L44" s="76">
        <f>IF(Calculation!U182,Calculation!P156,"Not Applicable")</f>
        <v>33.192147582383896</v>
      </c>
      <c r="M44" s="76">
        <f>IF(Calculation!U182,Calculation!Q156,"Not Applicable")</f>
        <v>38.964694988015879</v>
      </c>
      <c r="N44" s="76">
        <f>IF(Calculation!U182,Calculation!S156,"Not Applicable")</f>
        <v>50.509789799279837</v>
      </c>
      <c r="O44" s="76">
        <f>IF(Calculation!U182,Calculation!U156,"Not Applicable")</f>
        <v>160.06722323855345</v>
      </c>
      <c r="P44" s="76">
        <f>IF(Calculation!W182,Calculation!X156,"Not Applicable")</f>
        <v>41.163132735769551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 spans="1:27" ht="16.5" hidden="1">
      <c r="A45" s="63"/>
      <c r="B45" s="63" t="str">
        <f t="shared" si="8"/>
        <v>CLU048-1812C4</v>
      </c>
      <c r="C45" s="75">
        <f>IF(Calculation!U123,Calculation!N97,"Not Applicable")</f>
        <v>149.69104129828901</v>
      </c>
      <c r="D45" s="76">
        <f>IF(Calculation!U123,Calculation!R97,"Not Applicable")</f>
        <v>47.999931407664548</v>
      </c>
      <c r="E45" s="76">
        <f>IF(Calculation!U123,Calculation!P97,"Not Applicable")</f>
        <v>44.159936895962787</v>
      </c>
      <c r="F45" s="76">
        <f>IF(Calculation!U123,Calculation!Q97,"Not Applicable")</f>
        <v>51.839925921347621</v>
      </c>
      <c r="G45" s="76">
        <f>IF(Calculation!U123,Calculation!S97,"Not Applicable")</f>
        <v>7.1851597146597532</v>
      </c>
      <c r="H45" s="76">
        <f>IF(Calculation!U123,Calculation!U97,"Not Applicable")</f>
        <v>194.84605152806901</v>
      </c>
      <c r="I45" s="76">
        <f>IF(Calculation!W123,Calculation!X97,"Not Applicable")</f>
        <v>26.724438331518339</v>
      </c>
      <c r="J45" s="75">
        <f>IF(Calculation!U183,Calculation!N157,"Not Applicable")</f>
        <v>11791.40210347888</v>
      </c>
      <c r="K45" s="76">
        <f>IF(Calculation!U183,Calculation!R157,"Not Applicable")</f>
        <v>54.177759153693181</v>
      </c>
      <c r="L45" s="76">
        <f>IF(Calculation!U183,Calculation!P157,"Not Applicable")</f>
        <v>49.843538421397731</v>
      </c>
      <c r="M45" s="76">
        <f>IF(Calculation!U183,Calculation!Q157,"Not Applicable")</f>
        <v>58.511979885988637</v>
      </c>
      <c r="N45" s="76">
        <f>IF(Calculation!U183,Calculation!S157,"Not Applicable")</f>
        <v>75.848862815170449</v>
      </c>
      <c r="O45" s="76">
        <f>IF(Calculation!U183,Calculation!U157,"Not Applicable")</f>
        <v>155.45918113778885</v>
      </c>
      <c r="P45" s="76">
        <f>IF(Calculation!W183,Calculation!X157,"Not Applicable")</f>
        <v>43.203727075640906</v>
      </c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 spans="1:27" ht="16.5" hidden="1">
      <c r="A46" s="63"/>
      <c r="B46" s="63" t="str">
        <f t="shared" si="8"/>
        <v>CLU048-1818C4</v>
      </c>
      <c r="C46" s="75">
        <f>IF(Calculation!U124,Calculation!N98,"Not Applicable")</f>
        <v>153.7415102969795</v>
      </c>
      <c r="D46" s="76">
        <f>IF(Calculation!U124,Calculation!R98,"Not Applicable")</f>
        <v>47.728716131695144</v>
      </c>
      <c r="E46" s="76">
        <f>IF(Calculation!U124,Calculation!P98,"Not Applicable")</f>
        <v>43.910418842065781</v>
      </c>
      <c r="F46" s="76">
        <f>IF(Calculation!U124,Calculation!Q98,"Not Applicable")</f>
        <v>51.547013423294615</v>
      </c>
      <c r="G46" s="76">
        <f>IF(Calculation!U124,Calculation!S98,"Not Applicable")</f>
        <v>7.3378849026226209</v>
      </c>
      <c r="H46" s="76">
        <f>IF(Calculation!U124,Calculation!U98,"Not Applicable")</f>
        <v>190.79067314065233</v>
      </c>
      <c r="I46" s="76">
        <f>IF(Calculation!W124,Calculation!X98,"Not Applicable")</f>
        <v>26.174061584419618</v>
      </c>
      <c r="J46" s="75">
        <f>IF(Calculation!U184,Calculation!N158,"Not Applicable")</f>
        <v>11907.768425778664</v>
      </c>
      <c r="K46" s="76">
        <f>IF(Calculation!U184,Calculation!R158,"Not Applicable")</f>
        <v>52.098953916159587</v>
      </c>
      <c r="L46" s="76">
        <f>IF(Calculation!U184,Calculation!P158,"Not Applicable")</f>
        <v>47.931037602866823</v>
      </c>
      <c r="M46" s="76">
        <f>IF(Calculation!U184,Calculation!Q158,"Not Applicable")</f>
        <v>56.266870229452358</v>
      </c>
      <c r="N46" s="76">
        <f>IF(Calculation!U184,Calculation!S158,"Not Applicable")</f>
        <v>72.938535482623422</v>
      </c>
      <c r="O46" s="76">
        <f>IF(Calculation!U184,Calculation!U158,"Not Applicable")</f>
        <v>163.25757498401543</v>
      </c>
      <c r="P46" s="76">
        <f>IF(Calculation!W184,Calculation!X158,"Not Applicable")</f>
        <v>36.67016567721975</v>
      </c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 spans="1:27" ht="16.5" hidden="1">
      <c r="A47" s="63"/>
      <c r="B47" s="63" t="str">
        <f t="shared" si="8"/>
        <v>CLU058-1825C4</v>
      </c>
      <c r="C47" s="75">
        <f>IF(Calculation!U125,Calculation!N99,"Not Applicable")</f>
        <v>146.84411925165736</v>
      </c>
      <c r="D47" s="76">
        <f>IF(Calculation!U125,Calculation!R99,"Not Applicable")</f>
        <v>47.496615168711912</v>
      </c>
      <c r="E47" s="76">
        <f>IF(Calculation!U125,Calculation!P99,"Not Applicable")</f>
        <v>43.696885956116802</v>
      </c>
      <c r="F47" s="76">
        <f>IF(Calculation!U125,Calculation!Q99,"Not Applicable")</f>
        <v>51.296344383267552</v>
      </c>
      <c r="G47" s="76">
        <f>IF(Calculation!U125,Calculation!S99,"Not Applicable")</f>
        <v>6.97459862188441</v>
      </c>
      <c r="H47" s="76">
        <f>IF(Calculation!U125,Calculation!U99,"Not Applicable")</f>
        <v>200.72839684382373</v>
      </c>
      <c r="I47" s="76">
        <f>IF(Calculation!W125,Calculation!X99,"Not Applicable")</f>
        <v>25.906697820844972</v>
      </c>
      <c r="J47" s="75">
        <f>IF(Calculation!U185,Calculation!N159,"Not Applicable")</f>
        <v>12778.932859755745</v>
      </c>
      <c r="K47" s="76">
        <f>IF(Calculation!U185,Calculation!R159,"Not Applicable")</f>
        <v>50.766927359428578</v>
      </c>
      <c r="L47" s="76">
        <f>IF(Calculation!U185,Calculation!P159,"Not Applicable")</f>
        <v>46.705573170674292</v>
      </c>
      <c r="M47" s="76">
        <f>IF(Calculation!U185,Calculation!Q159,"Not Applicable")</f>
        <v>54.828281548182865</v>
      </c>
      <c r="N47" s="76">
        <f>IF(Calculation!U185,Calculation!S159,"Not Applicable")</f>
        <v>71.073698303200018</v>
      </c>
      <c r="O47" s="76">
        <f>IF(Calculation!U185,Calculation!U159,"Not Applicable")</f>
        <v>179.79833841262749</v>
      </c>
      <c r="P47" s="76">
        <f>IF(Calculation!W185,Calculation!X159,"Not Applicable")</f>
        <v>34.239580779416002</v>
      </c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 spans="1:27" ht="16.5" hidden="1">
      <c r="A48" s="63"/>
      <c r="B48" s="63" t="str">
        <f t="shared" si="8"/>
        <v>CLU058-3618C4</v>
      </c>
      <c r="C48" s="75" t="str">
        <f>IF(Calculation!U126,Calculation!N100,"Not Applicable")</f>
        <v>Not Applicable</v>
      </c>
      <c r="D48" s="76" t="str">
        <f>IF(Calculation!U126,Calculation!R100,"Not Applicable")</f>
        <v>Not Applicable</v>
      </c>
      <c r="E48" s="76" t="str">
        <f>IF(Calculation!U126,Calculation!P100,"Not Applicable")</f>
        <v>Not Applicable</v>
      </c>
      <c r="F48" s="76" t="str">
        <f>IF(Calculation!U126,Calculation!Q100,"Not Applicable")</f>
        <v>Not Applicable</v>
      </c>
      <c r="G48" s="76" t="str">
        <f>IF(Calculation!U126,Calculation!S100,"Not Applicable")</f>
        <v>Not Applicable</v>
      </c>
      <c r="H48" s="76" t="str">
        <f>IF(Calculation!U126,Calculation!U100,"Not Applicable")</f>
        <v>Not Applicable</v>
      </c>
      <c r="I48" s="76" t="str">
        <f>IF(Calculation!W126,Calculation!X100,"Not Applicable")</f>
        <v>Not Applicable</v>
      </c>
      <c r="J48" s="75">
        <f>IF(Calculation!U186,Calculation!N160,"Not Applicable")</f>
        <v>23939.617665632319</v>
      </c>
      <c r="K48" s="76">
        <f>IF(Calculation!U186,Calculation!R160,"Not Applicable")</f>
        <v>103.94751787007398</v>
      </c>
      <c r="L48" s="76">
        <f>IF(Calculation!U186,Calculation!P160,"Not Applicable")</f>
        <v>95.631716440468068</v>
      </c>
      <c r="M48" s="76">
        <f>IF(Calculation!U186,Calculation!Q160,"Not Applicable")</f>
        <v>112.26331929967991</v>
      </c>
      <c r="N48" s="76">
        <f>IF(Calculation!U186,Calculation!S160,"Not Applicable")</f>
        <v>145.52652501810357</v>
      </c>
      <c r="O48" s="76">
        <f>IF(Calculation!U186,Calculation!U160,"Not Applicable")</f>
        <v>164.50346534869996</v>
      </c>
      <c r="P48" s="76">
        <f>IF(Calculation!W186,Calculation!X160,"Not Applicable")</f>
        <v>38.825019876719836</v>
      </c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 spans="1:32" ht="16.5" hidden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U49" s="63"/>
      <c r="V49" s="63"/>
      <c r="W49" s="63"/>
    </row>
    <row r="50" spans="1:32" ht="16.5" hidden="1">
      <c r="A50" s="63"/>
      <c r="B50" s="71" t="s">
        <v>37</v>
      </c>
      <c r="C50" s="71"/>
      <c r="D50" s="71"/>
      <c r="E50" s="63"/>
      <c r="F50" s="63"/>
      <c r="G50" s="63"/>
      <c r="H50" s="63"/>
      <c r="I50" s="63"/>
      <c r="J50" s="63"/>
      <c r="L50" s="63" t="s">
        <v>129</v>
      </c>
      <c r="M50" s="63"/>
      <c r="N50" s="63"/>
      <c r="O50" s="63"/>
      <c r="P50" s="63"/>
      <c r="Q50" s="63"/>
      <c r="R50" s="63"/>
      <c r="U50" s="63"/>
      <c r="V50" s="63"/>
      <c r="W50" s="63"/>
    </row>
    <row r="51" spans="1:32" ht="16.5" hidden="1">
      <c r="A51" s="63"/>
      <c r="B51" s="71" t="s">
        <v>38</v>
      </c>
      <c r="C51" s="71" t="s">
        <v>39</v>
      </c>
      <c r="D51" s="71" t="s">
        <v>40</v>
      </c>
      <c r="E51" s="71"/>
      <c r="F51" s="63"/>
      <c r="G51" s="63"/>
      <c r="H51" s="63"/>
      <c r="I51" s="63"/>
      <c r="L51" s="77">
        <v>1</v>
      </c>
      <c r="M51" s="77">
        <v>2</v>
      </c>
      <c r="N51" s="77">
        <v>3</v>
      </c>
      <c r="O51" s="78">
        <v>4</v>
      </c>
      <c r="P51" s="78">
        <v>5</v>
      </c>
      <c r="Q51" s="78">
        <v>6</v>
      </c>
      <c r="R51" s="78">
        <v>7</v>
      </c>
      <c r="S51" s="78">
        <v>8</v>
      </c>
      <c r="T51" s="78">
        <v>9</v>
      </c>
      <c r="U51" s="78">
        <v>10</v>
      </c>
      <c r="V51" s="79">
        <v>11</v>
      </c>
      <c r="W51" s="79">
        <v>12</v>
      </c>
      <c r="X51" s="79">
        <v>13</v>
      </c>
      <c r="Y51" s="79">
        <v>14</v>
      </c>
      <c r="Z51" s="80">
        <v>13</v>
      </c>
      <c r="AA51" s="81">
        <v>14</v>
      </c>
      <c r="AB51" s="81">
        <v>15</v>
      </c>
      <c r="AC51" s="81">
        <v>16</v>
      </c>
      <c r="AD51" s="82">
        <v>17</v>
      </c>
      <c r="AE51" s="82">
        <v>18</v>
      </c>
      <c r="AF51" s="82">
        <v>19</v>
      </c>
    </row>
    <row r="52" spans="1:32" ht="16.5" hidden="1">
      <c r="A52" s="63"/>
      <c r="B52" s="71"/>
      <c r="C52" s="71">
        <v>5</v>
      </c>
      <c r="D52" s="71">
        <v>230</v>
      </c>
      <c r="E52" s="71"/>
      <c r="F52" s="63"/>
      <c r="G52" s="63"/>
      <c r="H52" s="63"/>
      <c r="I52" s="63"/>
      <c r="J52" s="55" t="s">
        <v>169</v>
      </c>
      <c r="K52" s="55"/>
      <c r="L52" s="77" t="str">
        <f t="shared" ref="L52:O52" si="9">L69</f>
        <v>5000K,70Min</v>
      </c>
      <c r="M52" s="77" t="str">
        <f t="shared" si="9"/>
        <v>4000K,70Min</v>
      </c>
      <c r="N52" s="77" t="str">
        <f t="shared" si="9"/>
        <v>3000K,70Min</v>
      </c>
      <c r="O52" s="78" t="str">
        <f t="shared" si="9"/>
        <v>6500K,80Min</v>
      </c>
      <c r="P52" s="78" t="str">
        <f t="shared" ref="P52:AF52" si="10">P69</f>
        <v>5700K,80Min</v>
      </c>
      <c r="Q52" s="78" t="str">
        <f t="shared" si="10"/>
        <v>5000K,80Min</v>
      </c>
      <c r="R52" s="78" t="str">
        <f t="shared" si="10"/>
        <v>4000K,80Min</v>
      </c>
      <c r="S52" s="78" t="str">
        <f t="shared" si="10"/>
        <v>3500K,80Min</v>
      </c>
      <c r="T52" s="78" t="str">
        <f t="shared" si="10"/>
        <v>3000K,80Min</v>
      </c>
      <c r="U52" s="78" t="str">
        <f t="shared" si="10"/>
        <v>2700K,80Min</v>
      </c>
      <c r="V52" s="79" t="str">
        <f t="shared" si="10"/>
        <v>5700K,90Min On BBL</v>
      </c>
      <c r="W52" s="79" t="str">
        <f t="shared" si="10"/>
        <v>4000K,90Min On BBL</v>
      </c>
      <c r="X52" s="79" t="str">
        <f t="shared" si="10"/>
        <v>3500K,90Min On BBL</v>
      </c>
      <c r="Y52" s="79" t="str">
        <f t="shared" si="10"/>
        <v>3000K,90Min On BBL</v>
      </c>
      <c r="Z52" s="79" t="str">
        <f t="shared" si="10"/>
        <v>2700K,90Min On BBL</v>
      </c>
      <c r="AA52" s="83" t="str">
        <f t="shared" si="10"/>
        <v>3500K,90Min B. BBL</v>
      </c>
      <c r="AB52" s="83" t="str">
        <f t="shared" si="10"/>
        <v>3000K,90Min B. BBL</v>
      </c>
      <c r="AC52" s="83" t="str">
        <f t="shared" si="10"/>
        <v>2700K,90Min B. BBL</v>
      </c>
      <c r="AD52" s="84" t="str">
        <f t="shared" si="10"/>
        <v>4000K,97Typ</v>
      </c>
      <c r="AE52" s="84" t="str">
        <f t="shared" si="10"/>
        <v>3000K,97Typ</v>
      </c>
      <c r="AF52" s="84" t="str">
        <f t="shared" si="10"/>
        <v>2700K,97Typ</v>
      </c>
    </row>
    <row r="53" spans="1:32" ht="16.5" hidden="1">
      <c r="A53" s="63"/>
      <c r="B53" s="71" t="s">
        <v>66</v>
      </c>
      <c r="C53" s="71" t="s">
        <v>40</v>
      </c>
      <c r="D53" s="71" t="s">
        <v>39</v>
      </c>
      <c r="E53" s="63"/>
      <c r="F53" s="63"/>
      <c r="G53" s="63"/>
      <c r="H53" s="63"/>
      <c r="I53" s="85"/>
      <c r="J53" s="56">
        <v>1201</v>
      </c>
      <c r="K53" s="57">
        <f>Tcスペック算出!J8</f>
        <v>0.90076764982452673</v>
      </c>
      <c r="L53" s="86">
        <v>516</v>
      </c>
      <c r="M53" s="86">
        <v>509</v>
      </c>
      <c r="N53" s="86">
        <v>495</v>
      </c>
      <c r="O53" s="86">
        <v>496</v>
      </c>
      <c r="P53" s="87"/>
      <c r="Q53" s="88">
        <v>487</v>
      </c>
      <c r="R53" s="88">
        <v>480</v>
      </c>
      <c r="S53" s="88">
        <v>476</v>
      </c>
      <c r="T53" s="88">
        <v>468</v>
      </c>
      <c r="U53" s="88">
        <v>449</v>
      </c>
      <c r="V53" s="87"/>
      <c r="W53" s="89">
        <v>407</v>
      </c>
      <c r="X53" s="89">
        <v>407</v>
      </c>
      <c r="Y53" s="89">
        <v>401</v>
      </c>
      <c r="Z53" s="89">
        <v>385</v>
      </c>
      <c r="AA53" s="87"/>
      <c r="AB53" s="87"/>
      <c r="AC53" s="87"/>
      <c r="AD53" s="86">
        <v>367</v>
      </c>
      <c r="AE53" s="86">
        <v>358</v>
      </c>
      <c r="AF53" s="86">
        <v>345</v>
      </c>
    </row>
    <row r="54" spans="1:32" ht="16.5" hidden="1">
      <c r="A54" s="63"/>
      <c r="B54" s="71"/>
      <c r="C54" s="71">
        <v>120</v>
      </c>
      <c r="D54" s="71">
        <v>-40</v>
      </c>
      <c r="E54" s="63"/>
      <c r="F54" s="63"/>
      <c r="G54" s="63"/>
      <c r="H54" s="63"/>
      <c r="I54" s="85"/>
      <c r="J54" s="58">
        <v>1202</v>
      </c>
      <c r="K54" s="57">
        <f>Tcスペック算出!J9</f>
        <v>0.90348170396342875</v>
      </c>
      <c r="L54" s="86">
        <v>1017</v>
      </c>
      <c r="M54" s="86">
        <v>1007</v>
      </c>
      <c r="N54" s="86">
        <v>979</v>
      </c>
      <c r="O54" s="88">
        <v>978</v>
      </c>
      <c r="P54" s="87"/>
      <c r="Q54" s="88">
        <v>960</v>
      </c>
      <c r="R54" s="88">
        <v>948</v>
      </c>
      <c r="S54" s="88">
        <v>941</v>
      </c>
      <c r="T54" s="88">
        <v>924</v>
      </c>
      <c r="U54" s="88">
        <v>886</v>
      </c>
      <c r="V54" s="87"/>
      <c r="W54" s="89">
        <v>805</v>
      </c>
      <c r="X54" s="89">
        <v>803</v>
      </c>
      <c r="Y54" s="89">
        <v>791</v>
      </c>
      <c r="Z54" s="89">
        <v>762</v>
      </c>
      <c r="AA54" s="87"/>
      <c r="AB54" s="87"/>
      <c r="AC54" s="87"/>
      <c r="AD54" s="90">
        <v>726</v>
      </c>
      <c r="AE54" s="90">
        <v>708</v>
      </c>
      <c r="AF54" s="90">
        <v>681</v>
      </c>
    </row>
    <row r="55" spans="1:32" ht="16.5" hidden="1">
      <c r="A55" s="63"/>
      <c r="B55" s="71" t="s">
        <v>41</v>
      </c>
      <c r="C55" s="71" t="s">
        <v>40</v>
      </c>
      <c r="D55" s="71" t="s">
        <v>39</v>
      </c>
      <c r="E55" s="63"/>
      <c r="F55" s="63"/>
      <c r="G55" s="63"/>
      <c r="H55" s="63"/>
      <c r="I55" s="85"/>
      <c r="J55" s="58">
        <v>1203</v>
      </c>
      <c r="K55" s="57">
        <f>Tcスペック算出!J10</f>
        <v>0.90348170396342875</v>
      </c>
      <c r="L55" s="88">
        <v>1498</v>
      </c>
      <c r="M55" s="88">
        <v>1483</v>
      </c>
      <c r="N55" s="88">
        <v>1442</v>
      </c>
      <c r="O55" s="88">
        <v>1439</v>
      </c>
      <c r="P55" s="87"/>
      <c r="Q55" s="88">
        <v>1414</v>
      </c>
      <c r="R55" s="88">
        <v>1397</v>
      </c>
      <c r="S55" s="88">
        <v>1384</v>
      </c>
      <c r="T55" s="88">
        <v>1362</v>
      </c>
      <c r="U55" s="88">
        <v>1306</v>
      </c>
      <c r="V55" s="87"/>
      <c r="W55" s="89">
        <v>1185</v>
      </c>
      <c r="X55" s="89">
        <v>1182</v>
      </c>
      <c r="Y55" s="89">
        <v>1167</v>
      </c>
      <c r="Z55" s="89">
        <v>1122</v>
      </c>
      <c r="AA55" s="86">
        <v>1123</v>
      </c>
      <c r="AB55" s="86">
        <v>1108</v>
      </c>
      <c r="AC55" s="86">
        <v>1065</v>
      </c>
      <c r="AD55" s="90">
        <v>1069</v>
      </c>
      <c r="AE55" s="90">
        <v>1044</v>
      </c>
      <c r="AF55" s="90">
        <v>1005</v>
      </c>
    </row>
    <row r="56" spans="1:32" ht="16.5" hidden="1">
      <c r="A56" s="63"/>
      <c r="B56" s="71"/>
      <c r="C56" s="71">
        <v>150</v>
      </c>
      <c r="D56" s="71">
        <v>-25</v>
      </c>
      <c r="E56" s="63"/>
      <c r="F56" s="63"/>
      <c r="G56" s="63"/>
      <c r="H56" s="63"/>
      <c r="I56" s="85"/>
      <c r="J56" s="58">
        <v>1204</v>
      </c>
      <c r="K56" s="57">
        <f>Tcスペック算出!J11</f>
        <v>0.90644409823082495</v>
      </c>
      <c r="L56" s="88">
        <v>1960</v>
      </c>
      <c r="M56" s="88">
        <v>1941</v>
      </c>
      <c r="N56" s="88">
        <v>1888</v>
      </c>
      <c r="O56" s="88">
        <v>1884</v>
      </c>
      <c r="P56" s="87"/>
      <c r="Q56" s="88">
        <v>1850</v>
      </c>
      <c r="R56" s="88">
        <v>1830</v>
      </c>
      <c r="S56" s="88">
        <v>1814</v>
      </c>
      <c r="T56" s="88">
        <v>1783</v>
      </c>
      <c r="U56" s="88">
        <v>1709</v>
      </c>
      <c r="V56" s="87"/>
      <c r="W56" s="89">
        <v>1552</v>
      </c>
      <c r="X56" s="89">
        <v>1549</v>
      </c>
      <c r="Y56" s="89">
        <v>1528</v>
      </c>
      <c r="Z56" s="89">
        <v>1468</v>
      </c>
      <c r="AA56" s="91"/>
      <c r="AB56" s="91"/>
      <c r="AC56" s="91"/>
      <c r="AD56" s="90">
        <v>1402</v>
      </c>
      <c r="AE56" s="90">
        <v>1367</v>
      </c>
      <c r="AF56" s="90">
        <v>1314</v>
      </c>
    </row>
    <row r="57" spans="1:32" ht="16.5" hidden="1">
      <c r="A57" s="63"/>
      <c r="B57" s="63"/>
      <c r="C57" s="63"/>
      <c r="D57" s="63"/>
      <c r="E57" s="63"/>
      <c r="F57" s="63"/>
      <c r="G57" s="63"/>
      <c r="H57" s="63"/>
      <c r="I57" s="85"/>
      <c r="J57" s="58">
        <v>1205</v>
      </c>
      <c r="K57" s="57">
        <f>Tcスペック算出!J12</f>
        <v>0.90617578406817345</v>
      </c>
      <c r="L57" s="88">
        <v>2557</v>
      </c>
      <c r="M57" s="88">
        <v>2531</v>
      </c>
      <c r="N57" s="88">
        <v>2463</v>
      </c>
      <c r="O57" s="88">
        <v>2458</v>
      </c>
      <c r="P57" s="87"/>
      <c r="Q57" s="88">
        <v>2414</v>
      </c>
      <c r="R57" s="88">
        <v>2385</v>
      </c>
      <c r="S57" s="88">
        <v>2366</v>
      </c>
      <c r="T57" s="88">
        <v>2326</v>
      </c>
      <c r="U57" s="88">
        <v>2231</v>
      </c>
      <c r="V57" s="87"/>
      <c r="W57" s="89">
        <v>2023</v>
      </c>
      <c r="X57" s="89">
        <v>2020</v>
      </c>
      <c r="Y57" s="89">
        <v>1992</v>
      </c>
      <c r="Z57" s="89">
        <v>1916</v>
      </c>
      <c r="AA57" s="92">
        <v>1920</v>
      </c>
      <c r="AB57" s="92">
        <v>1892</v>
      </c>
      <c r="AC57" s="92">
        <v>1820</v>
      </c>
      <c r="AD57" s="90">
        <v>1827</v>
      </c>
      <c r="AE57" s="90">
        <v>1783</v>
      </c>
      <c r="AF57" s="90">
        <v>1714</v>
      </c>
    </row>
    <row r="58" spans="1:32" ht="14.25" hidden="1" customHeight="1">
      <c r="H58" s="63"/>
      <c r="I58" s="93"/>
      <c r="J58" s="58">
        <v>1206</v>
      </c>
      <c r="K58" s="57">
        <f>Tcスペック算出!J13</f>
        <v>0.90791628318319773</v>
      </c>
      <c r="L58" s="88">
        <v>3038</v>
      </c>
      <c r="M58" s="88">
        <v>3006</v>
      </c>
      <c r="N58" s="88">
        <v>2925</v>
      </c>
      <c r="O58" s="88">
        <v>2919</v>
      </c>
      <c r="P58" s="87"/>
      <c r="Q58" s="88">
        <v>2867</v>
      </c>
      <c r="R58" s="88">
        <v>2834</v>
      </c>
      <c r="S58" s="88">
        <v>2811</v>
      </c>
      <c r="T58" s="88">
        <v>2762</v>
      </c>
      <c r="U58" s="88">
        <v>2651</v>
      </c>
      <c r="V58" s="87"/>
      <c r="W58" s="89">
        <v>2402</v>
      </c>
      <c r="X58" s="89">
        <v>2401</v>
      </c>
      <c r="Y58" s="89">
        <v>2366</v>
      </c>
      <c r="Z58" s="89">
        <v>2276</v>
      </c>
      <c r="AA58" s="94">
        <v>2280</v>
      </c>
      <c r="AB58" s="94">
        <v>2247</v>
      </c>
      <c r="AC58" s="94">
        <v>2161</v>
      </c>
      <c r="AD58" s="90">
        <v>2170</v>
      </c>
      <c r="AE58" s="90">
        <v>2117</v>
      </c>
      <c r="AF58" s="90">
        <v>2037</v>
      </c>
    </row>
    <row r="59" spans="1:32" ht="18" hidden="1">
      <c r="A59" s="231" t="s">
        <v>170</v>
      </c>
      <c r="B59" s="231"/>
      <c r="C59" s="95" t="s">
        <v>175</v>
      </c>
      <c r="H59" s="63"/>
      <c r="I59" s="85"/>
      <c r="J59" s="58">
        <v>1208</v>
      </c>
      <c r="K59" s="57">
        <f>Tcスペック算出!J14</f>
        <v>0.9091163486196685</v>
      </c>
      <c r="L59" s="88">
        <v>3972</v>
      </c>
      <c r="M59" s="88">
        <v>3932</v>
      </c>
      <c r="N59" s="88">
        <v>3825</v>
      </c>
      <c r="O59" s="88">
        <v>3817</v>
      </c>
      <c r="P59" s="88">
        <v>3786</v>
      </c>
      <c r="Q59" s="88">
        <v>3749</v>
      </c>
      <c r="R59" s="88">
        <v>3706</v>
      </c>
      <c r="S59" s="88">
        <v>3676</v>
      </c>
      <c r="T59" s="88">
        <v>3612</v>
      </c>
      <c r="U59" s="88">
        <v>3465</v>
      </c>
      <c r="V59" s="89">
        <v>3250</v>
      </c>
      <c r="W59" s="89">
        <v>3142</v>
      </c>
      <c r="X59" s="89">
        <v>3140</v>
      </c>
      <c r="Y59" s="89">
        <v>3095</v>
      </c>
      <c r="Z59" s="89">
        <v>2976</v>
      </c>
      <c r="AA59" s="94">
        <v>2982</v>
      </c>
      <c r="AB59" s="94">
        <v>2940</v>
      </c>
      <c r="AC59" s="94">
        <v>2827</v>
      </c>
      <c r="AD59" s="90">
        <v>2839</v>
      </c>
      <c r="AE59" s="90">
        <v>2769</v>
      </c>
      <c r="AF59" s="90">
        <v>2663</v>
      </c>
    </row>
    <row r="60" spans="1:32" ht="16.5" hidden="1">
      <c r="H60" s="63"/>
      <c r="I60" s="85"/>
      <c r="J60" s="58">
        <v>1210</v>
      </c>
      <c r="K60" s="57">
        <f>Tcスペック算出!J15</f>
        <v>0.91017972132350278</v>
      </c>
      <c r="L60" s="88">
        <v>4933</v>
      </c>
      <c r="M60" s="88">
        <v>4884</v>
      </c>
      <c r="N60" s="88">
        <v>4752</v>
      </c>
      <c r="O60" s="88">
        <v>4741</v>
      </c>
      <c r="P60" s="88">
        <v>4703</v>
      </c>
      <c r="Q60" s="88">
        <v>4656</v>
      </c>
      <c r="R60" s="88">
        <v>4602</v>
      </c>
      <c r="S60" s="88">
        <v>4564</v>
      </c>
      <c r="T60" s="88">
        <v>4487</v>
      </c>
      <c r="U60" s="88">
        <v>4296</v>
      </c>
      <c r="V60" s="89">
        <v>4036</v>
      </c>
      <c r="W60" s="89">
        <v>3903</v>
      </c>
      <c r="X60" s="89">
        <v>3896</v>
      </c>
      <c r="Y60" s="89">
        <v>3844</v>
      </c>
      <c r="Z60" s="89">
        <v>3689</v>
      </c>
      <c r="AA60" s="91"/>
      <c r="AB60" s="91"/>
      <c r="AC60" s="91"/>
      <c r="AD60" s="96"/>
      <c r="AE60" s="96"/>
      <c r="AF60" s="96"/>
    </row>
    <row r="61" spans="1:32" ht="16.5" hidden="1">
      <c r="C61" s="66" t="s">
        <v>130</v>
      </c>
      <c r="D61" s="66" t="s">
        <v>43</v>
      </c>
      <c r="E61" s="66" t="s">
        <v>44</v>
      </c>
      <c r="F61" s="66" t="s">
        <v>45</v>
      </c>
      <c r="G61" s="66" t="s">
        <v>46</v>
      </c>
      <c r="H61" s="63"/>
      <c r="I61" s="85"/>
      <c r="J61" s="58">
        <v>1211</v>
      </c>
      <c r="K61" s="57">
        <f>Tcスペック算出!J16</f>
        <v>0.90991417346346049</v>
      </c>
      <c r="L61" s="88">
        <v>5648</v>
      </c>
      <c r="M61" s="88">
        <v>5590</v>
      </c>
      <c r="N61" s="88">
        <v>5440</v>
      </c>
      <c r="O61" s="88">
        <v>5427</v>
      </c>
      <c r="P61" s="88">
        <v>5384</v>
      </c>
      <c r="Q61" s="88">
        <v>5330</v>
      </c>
      <c r="R61" s="88">
        <v>5269</v>
      </c>
      <c r="S61" s="88">
        <v>5227</v>
      </c>
      <c r="T61" s="88">
        <v>5137</v>
      </c>
      <c r="U61" s="88">
        <v>4926</v>
      </c>
      <c r="V61" s="89">
        <v>4621</v>
      </c>
      <c r="W61" s="89">
        <v>4468</v>
      </c>
      <c r="X61" s="89">
        <v>4463</v>
      </c>
      <c r="Y61" s="89">
        <v>4400</v>
      </c>
      <c r="Z61" s="89">
        <v>4231</v>
      </c>
      <c r="AA61" s="97">
        <v>4240</v>
      </c>
      <c r="AB61" s="97">
        <v>4181</v>
      </c>
      <c r="AC61" s="97">
        <v>4020</v>
      </c>
      <c r="AD61" s="90">
        <v>4036</v>
      </c>
      <c r="AE61" s="90">
        <v>3938</v>
      </c>
      <c r="AF61" s="90">
        <v>3786</v>
      </c>
    </row>
    <row r="62" spans="1:32" ht="16.5" hidden="1">
      <c r="B62" s="98" t="s">
        <v>47</v>
      </c>
      <c r="C62" s="59">
        <v>1.0119431074742607E-8</v>
      </c>
      <c r="D62" s="59">
        <v>0.21105761006135373</v>
      </c>
      <c r="E62" s="59">
        <v>-1.6935931880461949E-6</v>
      </c>
      <c r="F62" s="59">
        <v>-1.115215453639155E-8</v>
      </c>
      <c r="G62" s="59">
        <v>2.7366883102613162E-6</v>
      </c>
      <c r="H62" s="63"/>
      <c r="I62" s="85"/>
      <c r="J62" s="58">
        <v>1212</v>
      </c>
      <c r="K62" s="57">
        <f>Tcスペック算出!J17</f>
        <v>0.9091163486196685</v>
      </c>
      <c r="L62" s="88">
        <v>6161</v>
      </c>
      <c r="M62" s="88">
        <v>6099</v>
      </c>
      <c r="N62" s="88">
        <v>5935</v>
      </c>
      <c r="O62" s="88">
        <v>5920</v>
      </c>
      <c r="P62" s="88">
        <v>5873</v>
      </c>
      <c r="Q62" s="88">
        <v>5815</v>
      </c>
      <c r="R62" s="88">
        <v>5748</v>
      </c>
      <c r="S62" s="88">
        <v>5702</v>
      </c>
      <c r="T62" s="88">
        <v>5603</v>
      </c>
      <c r="U62" s="88">
        <v>5374</v>
      </c>
      <c r="V62" s="89">
        <v>5041</v>
      </c>
      <c r="W62" s="89">
        <v>4873</v>
      </c>
      <c r="X62" s="89">
        <v>4869</v>
      </c>
      <c r="Y62" s="89">
        <v>4800</v>
      </c>
      <c r="Z62" s="89">
        <v>4615</v>
      </c>
      <c r="AA62" s="97">
        <v>4625</v>
      </c>
      <c r="AB62" s="97">
        <v>4561</v>
      </c>
      <c r="AC62" s="97">
        <v>4385</v>
      </c>
      <c r="AD62" s="90">
        <v>4403</v>
      </c>
      <c r="AE62" s="90">
        <v>4295</v>
      </c>
      <c r="AF62" s="90">
        <v>4130</v>
      </c>
    </row>
    <row r="63" spans="1:32" ht="16.5" hidden="1">
      <c r="B63" s="98" t="s">
        <v>48</v>
      </c>
      <c r="C63" s="59">
        <v>-1.2314719114487644E-5</v>
      </c>
      <c r="D63" s="59">
        <v>8.6374162150953868</v>
      </c>
      <c r="E63" s="59">
        <v>1.3420711790919167E-3</v>
      </c>
      <c r="F63" s="59">
        <v>-4.1294483136519757E-6</v>
      </c>
      <c r="G63" s="59">
        <v>-9.4613757242850683E-4</v>
      </c>
      <c r="H63" s="63"/>
      <c r="I63" s="85"/>
      <c r="J63" s="58">
        <v>1812</v>
      </c>
      <c r="K63" s="57">
        <f>Tcスペック算出!J18</f>
        <v>0.91235291038407507</v>
      </c>
      <c r="L63" s="88">
        <v>9017</v>
      </c>
      <c r="M63" s="88">
        <v>8927</v>
      </c>
      <c r="N63" s="88">
        <v>8687</v>
      </c>
      <c r="O63" s="88">
        <v>8664</v>
      </c>
      <c r="P63" s="88">
        <v>8596</v>
      </c>
      <c r="Q63" s="88">
        <v>8511</v>
      </c>
      <c r="R63" s="88">
        <v>8412</v>
      </c>
      <c r="S63" s="88">
        <v>8340</v>
      </c>
      <c r="T63" s="88">
        <v>8201</v>
      </c>
      <c r="U63" s="88">
        <v>7864</v>
      </c>
      <c r="V63" s="89">
        <v>7380</v>
      </c>
      <c r="W63" s="89">
        <v>7133</v>
      </c>
      <c r="X63" s="89">
        <v>7121</v>
      </c>
      <c r="Y63" s="89">
        <v>7026</v>
      </c>
      <c r="Z63" s="89">
        <v>6753</v>
      </c>
      <c r="AA63" s="87"/>
      <c r="AB63" s="87"/>
      <c r="AC63" s="87"/>
      <c r="AD63" s="90">
        <v>6444</v>
      </c>
      <c r="AE63" s="90">
        <v>6288</v>
      </c>
      <c r="AF63" s="90">
        <v>6044</v>
      </c>
    </row>
    <row r="64" spans="1:32" ht="16.5" hidden="1">
      <c r="B64" s="98" t="s">
        <v>49</v>
      </c>
      <c r="C64" s="59">
        <v>1.2119154446513892E-2</v>
      </c>
      <c r="D64" s="59">
        <v>81.029256393012432</v>
      </c>
      <c r="E64" s="59">
        <v>0.89293169870490163</v>
      </c>
      <c r="F64" s="59">
        <v>-1.3906686657642209E-3</v>
      </c>
      <c r="G64" s="59">
        <v>1.0219430090961608</v>
      </c>
      <c r="H64" s="63"/>
      <c r="I64" s="85"/>
      <c r="J64" s="58">
        <v>1818</v>
      </c>
      <c r="K64" s="57">
        <f>Tcスペック算出!J19</f>
        <v>0.91235291038407507</v>
      </c>
      <c r="L64" s="88">
        <v>13162</v>
      </c>
      <c r="M64" s="88">
        <v>13029</v>
      </c>
      <c r="N64" s="88">
        <v>12677</v>
      </c>
      <c r="O64" s="88">
        <v>12648</v>
      </c>
      <c r="P64" s="88">
        <v>12547</v>
      </c>
      <c r="Q64" s="88">
        <v>12423</v>
      </c>
      <c r="R64" s="88">
        <v>12279</v>
      </c>
      <c r="S64" s="88">
        <v>12181</v>
      </c>
      <c r="T64" s="88">
        <v>11970</v>
      </c>
      <c r="U64" s="88">
        <v>11480</v>
      </c>
      <c r="V64" s="89">
        <v>10771</v>
      </c>
      <c r="W64" s="89">
        <v>10411</v>
      </c>
      <c r="X64" s="89">
        <v>10403</v>
      </c>
      <c r="Y64" s="89">
        <v>10256</v>
      </c>
      <c r="Z64" s="89">
        <v>9860</v>
      </c>
      <c r="AA64" s="87"/>
      <c r="AB64" s="87"/>
      <c r="AC64" s="87"/>
      <c r="AD64" s="87"/>
      <c r="AE64" s="87"/>
      <c r="AF64" s="87"/>
    </row>
    <row r="65" spans="1:32" ht="16.5" hidden="1">
      <c r="B65" s="98" t="s">
        <v>64</v>
      </c>
      <c r="C65" s="59">
        <v>1.648259387612208E-3</v>
      </c>
      <c r="D65" s="59">
        <v>0.11848164478038881</v>
      </c>
      <c r="E65" s="59"/>
      <c r="F65" s="59">
        <v>1.0375218742414281</v>
      </c>
      <c r="G65" s="59"/>
      <c r="H65" s="63"/>
      <c r="I65" s="85"/>
      <c r="J65" s="58">
        <v>1825</v>
      </c>
      <c r="K65" s="57">
        <f>Tcスペック算出!J20</f>
        <v>0.91600199577191288</v>
      </c>
      <c r="L65" s="88">
        <v>19274</v>
      </c>
      <c r="M65" s="88">
        <v>19080</v>
      </c>
      <c r="N65" s="88">
        <v>18565</v>
      </c>
      <c r="O65" s="88">
        <v>18520</v>
      </c>
      <c r="P65" s="88">
        <v>18373</v>
      </c>
      <c r="Q65" s="86">
        <v>18191</v>
      </c>
      <c r="R65" s="88">
        <v>17980</v>
      </c>
      <c r="S65" s="88">
        <v>17836</v>
      </c>
      <c r="T65" s="88">
        <v>17528</v>
      </c>
      <c r="U65" s="88">
        <v>16811</v>
      </c>
      <c r="V65" s="89">
        <v>15773</v>
      </c>
      <c r="W65" s="89">
        <v>15247</v>
      </c>
      <c r="X65" s="89">
        <v>15233</v>
      </c>
      <c r="Y65" s="89">
        <v>15018</v>
      </c>
      <c r="Z65" s="89">
        <v>14437</v>
      </c>
      <c r="AA65" s="87"/>
      <c r="AB65" s="87"/>
      <c r="AC65" s="87"/>
      <c r="AD65" s="87"/>
      <c r="AE65" s="87"/>
      <c r="AF65" s="87"/>
    </row>
    <row r="66" spans="1:32" ht="16.5" hidden="1">
      <c r="A66" s="63"/>
      <c r="B66" s="63"/>
      <c r="C66" s="99"/>
      <c r="D66" s="100"/>
      <c r="E66" s="63"/>
      <c r="F66" s="63"/>
      <c r="G66" s="63"/>
      <c r="H66" s="63"/>
      <c r="I66" s="85"/>
      <c r="J66" s="58">
        <v>3618</v>
      </c>
      <c r="K66" s="57">
        <f>Tcスペック算出!J21</f>
        <v>0.91763333468205532</v>
      </c>
      <c r="L66" s="88">
        <v>26615</v>
      </c>
      <c r="M66" s="88">
        <v>26278</v>
      </c>
      <c r="N66" s="88">
        <v>25566</v>
      </c>
      <c r="O66" s="88">
        <v>25573</v>
      </c>
      <c r="P66" s="88">
        <v>25371</v>
      </c>
      <c r="Q66" s="88">
        <v>25120</v>
      </c>
      <c r="R66" s="88">
        <v>24764</v>
      </c>
      <c r="S66" s="88">
        <v>24562</v>
      </c>
      <c r="T66" s="88">
        <v>24137</v>
      </c>
      <c r="U66" s="88">
        <v>23110</v>
      </c>
      <c r="V66" s="89">
        <v>21725</v>
      </c>
      <c r="W66" s="89">
        <v>20998</v>
      </c>
      <c r="X66" s="89">
        <v>20975</v>
      </c>
      <c r="Y66" s="89">
        <v>20681</v>
      </c>
      <c r="Z66" s="89">
        <v>19847</v>
      </c>
      <c r="AA66" s="87"/>
      <c r="AB66" s="87"/>
      <c r="AC66" s="87"/>
      <c r="AD66" s="87"/>
      <c r="AE66" s="87"/>
      <c r="AF66" s="87"/>
    </row>
    <row r="67" spans="1:32" ht="16.5" hidden="1">
      <c r="A67" s="63"/>
      <c r="B67" s="63"/>
      <c r="C67" s="101"/>
      <c r="D67" s="102"/>
      <c r="E67" s="63"/>
      <c r="F67" s="63"/>
      <c r="G67" s="63"/>
      <c r="H67" s="63"/>
      <c r="I67" s="63"/>
      <c r="J67" s="63"/>
      <c r="L67" s="63" t="s">
        <v>84</v>
      </c>
      <c r="M67" s="103"/>
      <c r="N67" s="103"/>
      <c r="O67" s="104"/>
      <c r="P67" s="103"/>
      <c r="Q67" s="103"/>
      <c r="R67" s="103"/>
      <c r="S67" s="103"/>
      <c r="T67" s="103"/>
      <c r="U67" s="105"/>
      <c r="V67" s="103"/>
      <c r="W67" s="103"/>
      <c r="X67" s="98"/>
      <c r="Y67" s="98"/>
      <c r="Z67" s="98"/>
      <c r="AA67" s="98"/>
      <c r="AB67" s="106"/>
    </row>
    <row r="68" spans="1:32" ht="16.5" hidden="1">
      <c r="A68" s="98"/>
      <c r="B68" s="98" t="s">
        <v>42</v>
      </c>
      <c r="C68" s="98" t="s">
        <v>43</v>
      </c>
      <c r="D68" s="98" t="s">
        <v>44</v>
      </c>
      <c r="E68" s="98" t="s">
        <v>45</v>
      </c>
      <c r="F68" s="98" t="s">
        <v>46</v>
      </c>
      <c r="G68" s="63"/>
      <c r="H68" s="103"/>
      <c r="I68" s="103"/>
      <c r="J68" s="103"/>
      <c r="K68" s="103"/>
      <c r="L68" s="77">
        <v>1</v>
      </c>
      <c r="M68" s="77">
        <v>2</v>
      </c>
      <c r="N68" s="77">
        <v>3</v>
      </c>
      <c r="O68" s="78">
        <v>4</v>
      </c>
      <c r="P68" s="78">
        <v>5</v>
      </c>
      <c r="Q68" s="78">
        <v>6</v>
      </c>
      <c r="R68" s="78">
        <v>7</v>
      </c>
      <c r="S68" s="78">
        <v>8</v>
      </c>
      <c r="T68" s="78">
        <v>9</v>
      </c>
      <c r="U68" s="78">
        <v>10</v>
      </c>
      <c r="V68" s="79">
        <v>11</v>
      </c>
      <c r="W68" s="79">
        <v>12</v>
      </c>
      <c r="X68" s="79">
        <v>13</v>
      </c>
      <c r="Y68" s="79">
        <v>14</v>
      </c>
      <c r="Z68" s="79">
        <v>15</v>
      </c>
      <c r="AA68" s="81">
        <v>16</v>
      </c>
      <c r="AB68" s="81">
        <v>17</v>
      </c>
      <c r="AC68" s="81">
        <v>18</v>
      </c>
      <c r="AD68" s="82">
        <v>19</v>
      </c>
      <c r="AE68" s="82">
        <v>20</v>
      </c>
      <c r="AF68" s="82">
        <v>21</v>
      </c>
    </row>
    <row r="69" spans="1:32" ht="16.5" hidden="1">
      <c r="A69" s="98" t="s">
        <v>47</v>
      </c>
      <c r="B69" s="60">
        <f t="shared" ref="B69:F71" si="11">C62</f>
        <v>1.0119431074742607E-8</v>
      </c>
      <c r="C69" s="60">
        <f t="shared" si="11"/>
        <v>0.21105761006135373</v>
      </c>
      <c r="D69" s="60">
        <f t="shared" si="11"/>
        <v>-1.6935931880461949E-6</v>
      </c>
      <c r="E69" s="60">
        <f t="shared" si="11"/>
        <v>-1.115215453639155E-8</v>
      </c>
      <c r="F69" s="60">
        <f t="shared" si="11"/>
        <v>2.7366883102613162E-6</v>
      </c>
      <c r="G69" s="63"/>
      <c r="H69" s="61" t="s">
        <v>1</v>
      </c>
      <c r="I69" s="61" t="s">
        <v>2</v>
      </c>
      <c r="J69" s="103"/>
      <c r="K69" s="103" t="s">
        <v>50</v>
      </c>
      <c r="L69" s="77" t="str">
        <f>L2</f>
        <v>5000K,70Min</v>
      </c>
      <c r="M69" s="77" t="str">
        <f>L3</f>
        <v>4000K,70Min</v>
      </c>
      <c r="N69" s="77" t="str">
        <f>L4</f>
        <v>3000K,70Min</v>
      </c>
      <c r="O69" s="78" t="str">
        <f>L5</f>
        <v>6500K,80Min</v>
      </c>
      <c r="P69" s="78" t="str">
        <f>L6</f>
        <v>5700K,80Min</v>
      </c>
      <c r="Q69" s="78" t="str">
        <f>L7</f>
        <v>5000K,80Min</v>
      </c>
      <c r="R69" s="78" t="str">
        <f>L8</f>
        <v>4000K,80Min</v>
      </c>
      <c r="S69" s="78" t="str">
        <f>L9</f>
        <v>3500K,80Min</v>
      </c>
      <c r="T69" s="78" t="str">
        <f>L10</f>
        <v>3000K,80Min</v>
      </c>
      <c r="U69" s="78" t="str">
        <f>L11</f>
        <v>2700K,80Min</v>
      </c>
      <c r="V69" s="79" t="str">
        <f>L12</f>
        <v>5700K,90Min On BBL</v>
      </c>
      <c r="W69" s="79" t="str">
        <f>L13</f>
        <v>4000K,90Min On BBL</v>
      </c>
      <c r="X69" s="79" t="str">
        <f>L14</f>
        <v>3500K,90Min On BBL</v>
      </c>
      <c r="Y69" s="79" t="str">
        <f>L15</f>
        <v>3000K,90Min On BBL</v>
      </c>
      <c r="Z69" s="79" t="str">
        <f>L16</f>
        <v>2700K,90Min On BBL</v>
      </c>
      <c r="AA69" s="83" t="str">
        <f>L17</f>
        <v>3500K,90Min B. BBL</v>
      </c>
      <c r="AB69" s="83" t="str">
        <f>L18</f>
        <v>3000K,90Min B. BBL</v>
      </c>
      <c r="AC69" s="83" t="str">
        <f>L19</f>
        <v>2700K,90Min B. BBL</v>
      </c>
      <c r="AD69" s="84" t="str">
        <f>L20</f>
        <v>4000K,97Typ</v>
      </c>
      <c r="AE69" s="84" t="str">
        <f>L21</f>
        <v>3000K,97Typ</v>
      </c>
      <c r="AF69" s="84" t="str">
        <f>L22</f>
        <v>2700K,97Typ</v>
      </c>
    </row>
    <row r="70" spans="1:32" ht="16.5" hidden="1">
      <c r="A70" s="98" t="s">
        <v>48</v>
      </c>
      <c r="B70" s="60">
        <f t="shared" si="11"/>
        <v>-1.2314719114487644E-5</v>
      </c>
      <c r="C70" s="60">
        <f t="shared" si="11"/>
        <v>8.6374162150953868</v>
      </c>
      <c r="D70" s="60">
        <f t="shared" si="11"/>
        <v>1.3420711790919167E-3</v>
      </c>
      <c r="E70" s="60">
        <f t="shared" si="11"/>
        <v>-4.1294483136519757E-6</v>
      </c>
      <c r="F70" s="60">
        <f t="shared" si="11"/>
        <v>-9.4613757242850683E-4</v>
      </c>
      <c r="G70" s="63">
        <f>H70*I70</f>
        <v>12</v>
      </c>
      <c r="H70" s="62">
        <v>12</v>
      </c>
      <c r="I70" s="62">
        <v>1</v>
      </c>
      <c r="J70" s="63" t="str">
        <f t="shared" ref="J70:J83" si="12">B2</f>
        <v>CLU028-1201C4</v>
      </c>
      <c r="K70" s="107">
        <f>Tcスペック算出!I8</f>
        <v>35.22246029179032</v>
      </c>
      <c r="L70" s="88">
        <f t="shared" ref="L70:O71" si="13">L53/$K53</f>
        <v>572.84472871613332</v>
      </c>
      <c r="M70" s="88">
        <f t="shared" si="13"/>
        <v>565.07357929556565</v>
      </c>
      <c r="N70" s="88">
        <f t="shared" si="13"/>
        <v>549.5312804544302</v>
      </c>
      <c r="O70" s="88">
        <f t="shared" si="13"/>
        <v>550.64144465736842</v>
      </c>
      <c r="P70" s="87"/>
      <c r="Q70" s="88">
        <f t="shared" ref="Q70:U83" si="14">Q53/$K53</f>
        <v>540.64996683092431</v>
      </c>
      <c r="R70" s="88">
        <f t="shared" si="14"/>
        <v>532.87881741035653</v>
      </c>
      <c r="S70" s="88">
        <f t="shared" si="14"/>
        <v>528.43816059860364</v>
      </c>
      <c r="T70" s="88">
        <f t="shared" si="14"/>
        <v>519.55684697509764</v>
      </c>
      <c r="U70" s="88">
        <f t="shared" si="14"/>
        <v>498.46372711927108</v>
      </c>
      <c r="V70" s="87"/>
      <c r="W70" s="88">
        <f t="shared" ref="W70:Z83" si="15">W53/$K53</f>
        <v>451.83683059586485</v>
      </c>
      <c r="X70" s="88">
        <f t="shared" si="15"/>
        <v>451.83683059586485</v>
      </c>
      <c r="Y70" s="88">
        <f t="shared" si="15"/>
        <v>445.17584537823541</v>
      </c>
      <c r="Z70" s="88">
        <f t="shared" si="15"/>
        <v>427.41321813122352</v>
      </c>
      <c r="AA70" s="87"/>
      <c r="AB70" s="87"/>
      <c r="AC70" s="87"/>
      <c r="AD70" s="88">
        <f t="shared" ref="AD70:AF76" si="16">AD53/$K53</f>
        <v>407.43026247833512</v>
      </c>
      <c r="AE70" s="88">
        <f t="shared" si="16"/>
        <v>397.43878465189096</v>
      </c>
      <c r="AF70" s="88">
        <f t="shared" si="16"/>
        <v>383.00665001369379</v>
      </c>
    </row>
    <row r="71" spans="1:32" ht="16.5" hidden="1">
      <c r="A71" s="98" t="s">
        <v>49</v>
      </c>
      <c r="B71" s="60">
        <f t="shared" si="11"/>
        <v>1.2119154446513892E-2</v>
      </c>
      <c r="C71" s="60">
        <f t="shared" si="11"/>
        <v>81.029256393012432</v>
      </c>
      <c r="D71" s="60">
        <f t="shared" si="11"/>
        <v>0.89293169870490163</v>
      </c>
      <c r="E71" s="60">
        <f t="shared" si="11"/>
        <v>-1.3906686657642209E-3</v>
      </c>
      <c r="F71" s="60">
        <f t="shared" si="11"/>
        <v>1.0219430090961608</v>
      </c>
      <c r="G71" s="63">
        <f>H71*I71</f>
        <v>24</v>
      </c>
      <c r="H71" s="68">
        <v>12</v>
      </c>
      <c r="I71" s="68">
        <v>2</v>
      </c>
      <c r="J71" s="63" t="str">
        <f t="shared" si="12"/>
        <v>CLU028-1202C4</v>
      </c>
      <c r="K71" s="107">
        <f>Tcスペック算出!I9</f>
        <v>35.19890341080044</v>
      </c>
      <c r="L71" s="88">
        <f t="shared" si="13"/>
        <v>1125.645373380097</v>
      </c>
      <c r="M71" s="88">
        <f t="shared" si="13"/>
        <v>1114.577080623164</v>
      </c>
      <c r="N71" s="88">
        <f t="shared" si="13"/>
        <v>1083.5858609037512</v>
      </c>
      <c r="O71" s="88">
        <f t="shared" si="13"/>
        <v>1082.4790316280578</v>
      </c>
      <c r="P71" s="87"/>
      <c r="Q71" s="88">
        <f t="shared" si="14"/>
        <v>1062.5561046655782</v>
      </c>
      <c r="R71" s="88">
        <f t="shared" si="14"/>
        <v>1049.2741533572585</v>
      </c>
      <c r="S71" s="88">
        <f t="shared" si="14"/>
        <v>1041.5263484274053</v>
      </c>
      <c r="T71" s="88">
        <f t="shared" si="14"/>
        <v>1022.7102507406191</v>
      </c>
      <c r="U71" s="88">
        <f t="shared" si="14"/>
        <v>980.65073826427329</v>
      </c>
      <c r="V71" s="87"/>
      <c r="W71" s="88">
        <f t="shared" si="15"/>
        <v>890.99756693311508</v>
      </c>
      <c r="X71" s="88">
        <f t="shared" si="15"/>
        <v>888.78390838172845</v>
      </c>
      <c r="Y71" s="88">
        <f t="shared" si="15"/>
        <v>875.50195707340879</v>
      </c>
      <c r="Z71" s="88">
        <f t="shared" si="15"/>
        <v>843.40390807830272</v>
      </c>
      <c r="AA71" s="87"/>
      <c r="AB71" s="87"/>
      <c r="AC71" s="87"/>
      <c r="AD71" s="88">
        <f t="shared" si="16"/>
        <v>803.55805415334362</v>
      </c>
      <c r="AE71" s="88">
        <f t="shared" si="16"/>
        <v>783.63512719086395</v>
      </c>
      <c r="AF71" s="88">
        <f t="shared" si="16"/>
        <v>753.75073674714463</v>
      </c>
    </row>
    <row r="72" spans="1:32" ht="16.5" hidden="1">
      <c r="A72" s="103" t="s">
        <v>65</v>
      </c>
      <c r="B72" s="60">
        <f>C65</f>
        <v>1.648259387612208E-3</v>
      </c>
      <c r="C72" s="60">
        <f>D65</f>
        <v>0.11848164478038881</v>
      </c>
      <c r="D72" s="63"/>
      <c r="E72" s="60">
        <f>F65</f>
        <v>1.0375218742414281</v>
      </c>
      <c r="F72" s="63"/>
      <c r="G72" s="63">
        <f t="shared" ref="G72:G82" si="17">H72*I72</f>
        <v>36</v>
      </c>
      <c r="H72" s="68">
        <v>12</v>
      </c>
      <c r="I72" s="68">
        <v>3</v>
      </c>
      <c r="J72" s="63" t="str">
        <f t="shared" si="12"/>
        <v>CLU028-1203C4</v>
      </c>
      <c r="K72" s="107">
        <f>Tcスペック算出!I10</f>
        <v>35.19890341080044</v>
      </c>
      <c r="L72" s="88">
        <f t="shared" ref="L72:L78" si="18">L55/$K55</f>
        <v>1658.0302549885794</v>
      </c>
      <c r="M72" s="88">
        <f t="shared" ref="M72:O72" si="19">M55/$K55</f>
        <v>1641.4278158531797</v>
      </c>
      <c r="N72" s="88">
        <f t="shared" si="19"/>
        <v>1596.047815549754</v>
      </c>
      <c r="O72" s="88">
        <f t="shared" si="19"/>
        <v>1592.7273277226741</v>
      </c>
      <c r="P72" s="87"/>
      <c r="Q72" s="88">
        <f t="shared" si="14"/>
        <v>1565.0565958303414</v>
      </c>
      <c r="R72" s="88">
        <f t="shared" si="14"/>
        <v>1546.240498143555</v>
      </c>
      <c r="S72" s="88">
        <f t="shared" si="14"/>
        <v>1531.8517175595421</v>
      </c>
      <c r="T72" s="88">
        <f t="shared" si="14"/>
        <v>1507.5014734942893</v>
      </c>
      <c r="U72" s="88">
        <f t="shared" si="14"/>
        <v>1445.5190340554639</v>
      </c>
      <c r="V72" s="87"/>
      <c r="W72" s="88">
        <f t="shared" si="15"/>
        <v>1311.5926916965732</v>
      </c>
      <c r="X72" s="88">
        <f t="shared" si="15"/>
        <v>1308.2722038694933</v>
      </c>
      <c r="Y72" s="88">
        <f t="shared" si="15"/>
        <v>1291.6697647340936</v>
      </c>
      <c r="Z72" s="88">
        <f t="shared" si="15"/>
        <v>1241.8624473278946</v>
      </c>
      <c r="AA72" s="88">
        <f>AA55/$K55</f>
        <v>1242.969276603588</v>
      </c>
      <c r="AB72" s="88">
        <f>AB55/$K55</f>
        <v>1226.3668374681884</v>
      </c>
      <c r="AC72" s="88">
        <f>AC55/$K55</f>
        <v>1178.7731786133759</v>
      </c>
      <c r="AD72" s="88">
        <f t="shared" si="16"/>
        <v>1183.2004957161491</v>
      </c>
      <c r="AE72" s="88">
        <f t="shared" si="16"/>
        <v>1155.5297638238164</v>
      </c>
      <c r="AF72" s="88">
        <f t="shared" si="16"/>
        <v>1112.3634220717772</v>
      </c>
    </row>
    <row r="73" spans="1:32" ht="16.5" hidden="1">
      <c r="A73" s="63"/>
      <c r="B73" s="108"/>
      <c r="C73" s="108"/>
      <c r="D73" s="63"/>
      <c r="E73" s="63"/>
      <c r="G73" s="63">
        <f t="shared" si="17"/>
        <v>48</v>
      </c>
      <c r="H73" s="68">
        <v>12</v>
      </c>
      <c r="I73" s="68">
        <v>4</v>
      </c>
      <c r="J73" s="63" t="str">
        <f t="shared" si="12"/>
        <v>CLU028-1204C4</v>
      </c>
      <c r="K73" s="107">
        <f>Tcスペック算出!I11</f>
        <v>35.17268259197111</v>
      </c>
      <c r="L73" s="88">
        <f t="shared" si="18"/>
        <v>2162.2955059506476</v>
      </c>
      <c r="M73" s="88">
        <f t="shared" ref="M73:O73" si="20">M56/$K56</f>
        <v>2141.3344780868401</v>
      </c>
      <c r="N73" s="88">
        <f t="shared" si="20"/>
        <v>2082.864242466746</v>
      </c>
      <c r="O73" s="88">
        <f t="shared" si="20"/>
        <v>2078.4513944954183</v>
      </c>
      <c r="P73" s="87"/>
      <c r="Q73" s="88">
        <f t="shared" si="14"/>
        <v>2040.9421867391316</v>
      </c>
      <c r="R73" s="88">
        <f t="shared" si="14"/>
        <v>2018.8779468824923</v>
      </c>
      <c r="S73" s="88">
        <f t="shared" si="14"/>
        <v>2001.2265549971808</v>
      </c>
      <c r="T73" s="88">
        <f t="shared" si="14"/>
        <v>1967.0269832193901</v>
      </c>
      <c r="U73" s="88">
        <f t="shared" si="14"/>
        <v>1885.3892957498247</v>
      </c>
      <c r="V73" s="87"/>
      <c r="W73" s="88">
        <f t="shared" si="15"/>
        <v>1712.1850128752064</v>
      </c>
      <c r="X73" s="88">
        <f t="shared" si="15"/>
        <v>1708.8753768967106</v>
      </c>
      <c r="Y73" s="88">
        <f t="shared" si="15"/>
        <v>1685.7079250472395</v>
      </c>
      <c r="Z73" s="88">
        <f t="shared" si="15"/>
        <v>1619.5152054773216</v>
      </c>
      <c r="AA73" s="87"/>
      <c r="AB73" s="87"/>
      <c r="AC73" s="87"/>
      <c r="AD73" s="88">
        <f t="shared" si="16"/>
        <v>1546.7032139504122</v>
      </c>
      <c r="AE73" s="88">
        <f t="shared" si="16"/>
        <v>1508.0907942012934</v>
      </c>
      <c r="AF73" s="88">
        <f t="shared" si="16"/>
        <v>1449.6205585811992</v>
      </c>
    </row>
    <row r="74" spans="1:32" ht="16.5" hidden="1">
      <c r="A74" s="63"/>
      <c r="B74" s="109"/>
      <c r="C74" s="110"/>
      <c r="D74" s="63" t="str">
        <f>CONCATENATE("lm(%,@",E78,"C)")</f>
        <v>lm(%,@25C)</v>
      </c>
      <c r="E74" s="111">
        <f>E69*$E$78^3+E70*$E$78^2+E71*$E$78+E72</f>
        <v>0.99999999998665889</v>
      </c>
      <c r="F74" s="112"/>
      <c r="G74" s="63">
        <f t="shared" si="17"/>
        <v>60</v>
      </c>
      <c r="H74" s="68">
        <v>12</v>
      </c>
      <c r="I74" s="68">
        <v>5</v>
      </c>
      <c r="J74" s="63" t="str">
        <f t="shared" si="12"/>
        <v>CLU038-1205C4</v>
      </c>
      <c r="K74" s="107">
        <f>Tcスペック算出!I12</f>
        <v>35.175079608745882</v>
      </c>
      <c r="L74" s="88">
        <f t="shared" si="18"/>
        <v>2821.7483240620691</v>
      </c>
      <c r="M74" s="88">
        <f t="shared" ref="M74:O74" si="21">M57/$K57</f>
        <v>2793.0563192026193</v>
      </c>
      <c r="N74" s="88">
        <f t="shared" si="21"/>
        <v>2718.0156911086729</v>
      </c>
      <c r="O74" s="88">
        <f t="shared" si="21"/>
        <v>2712.497997866471</v>
      </c>
      <c r="P74" s="87"/>
      <c r="Q74" s="88">
        <f t="shared" si="14"/>
        <v>2663.9422973350938</v>
      </c>
      <c r="R74" s="88">
        <f t="shared" si="14"/>
        <v>2631.9396765303227</v>
      </c>
      <c r="S74" s="88">
        <f t="shared" si="14"/>
        <v>2610.9724422099553</v>
      </c>
      <c r="T74" s="88">
        <f t="shared" si="14"/>
        <v>2566.8308962723399</v>
      </c>
      <c r="U74" s="88">
        <f t="shared" si="14"/>
        <v>2461.9947246705033</v>
      </c>
      <c r="V74" s="87"/>
      <c r="W74" s="88">
        <f t="shared" si="15"/>
        <v>2232.4586857949025</v>
      </c>
      <c r="X74" s="88">
        <f t="shared" si="15"/>
        <v>2229.1480698495816</v>
      </c>
      <c r="Y74" s="88">
        <f t="shared" si="15"/>
        <v>2198.2489876932505</v>
      </c>
      <c r="Z74" s="88">
        <f t="shared" si="15"/>
        <v>2114.3800504117812</v>
      </c>
      <c r="AA74" s="88">
        <f t="shared" ref="AA74:AC76" si="22">AA57/$K57</f>
        <v>2118.7942050055426</v>
      </c>
      <c r="AB74" s="88">
        <f t="shared" si="22"/>
        <v>2087.8951228492119</v>
      </c>
      <c r="AC74" s="88">
        <f t="shared" si="22"/>
        <v>2008.4403401615041</v>
      </c>
      <c r="AD74" s="88">
        <f t="shared" si="16"/>
        <v>2016.1651107005869</v>
      </c>
      <c r="AE74" s="88">
        <f t="shared" si="16"/>
        <v>1967.6094101692099</v>
      </c>
      <c r="AF74" s="88">
        <f t="shared" si="16"/>
        <v>1891.465243426823</v>
      </c>
    </row>
    <row r="75" spans="1:32" ht="16.5" hidden="1">
      <c r="A75" s="63"/>
      <c r="B75" s="63"/>
      <c r="C75" s="63"/>
      <c r="D75" s="63"/>
      <c r="E75" s="63"/>
      <c r="G75" s="63">
        <f t="shared" si="17"/>
        <v>72</v>
      </c>
      <c r="H75" s="68">
        <v>12</v>
      </c>
      <c r="I75" s="68">
        <v>6</v>
      </c>
      <c r="J75" s="63" t="str">
        <f t="shared" si="12"/>
        <v>CLU038-1206C4</v>
      </c>
      <c r="K75" s="107">
        <f>Tcスペック算出!I13</f>
        <v>35.159451544125091</v>
      </c>
      <c r="L75" s="88">
        <f t="shared" si="18"/>
        <v>3346.1234876729245</v>
      </c>
      <c r="M75" s="88">
        <f t="shared" ref="M75:O75" si="23">M58/$K58</f>
        <v>3310.877947315606</v>
      </c>
      <c r="N75" s="88">
        <f t="shared" si="23"/>
        <v>3221.6626732861432</v>
      </c>
      <c r="O75" s="88">
        <f t="shared" si="23"/>
        <v>3215.054134469146</v>
      </c>
      <c r="P75" s="87"/>
      <c r="Q75" s="88">
        <f t="shared" si="14"/>
        <v>3157.7801313885038</v>
      </c>
      <c r="R75" s="88">
        <f t="shared" si="14"/>
        <v>3121.4331678950189</v>
      </c>
      <c r="S75" s="88">
        <f t="shared" si="14"/>
        <v>3096.1004357631964</v>
      </c>
      <c r="T75" s="88">
        <f t="shared" si="14"/>
        <v>3042.1307020910522</v>
      </c>
      <c r="U75" s="88">
        <f t="shared" si="14"/>
        <v>2919.8727339766037</v>
      </c>
      <c r="V75" s="87"/>
      <c r="W75" s="88">
        <f t="shared" si="15"/>
        <v>2645.6183730712191</v>
      </c>
      <c r="X75" s="88">
        <f t="shared" si="15"/>
        <v>2644.5169499350532</v>
      </c>
      <c r="Y75" s="88">
        <f t="shared" si="15"/>
        <v>2605.9671401692358</v>
      </c>
      <c r="Z75" s="88">
        <f t="shared" si="15"/>
        <v>2506.8390579142779</v>
      </c>
      <c r="AA75" s="88">
        <f t="shared" si="22"/>
        <v>2511.2447504589427</v>
      </c>
      <c r="AB75" s="88">
        <f t="shared" si="22"/>
        <v>2474.8977869654577</v>
      </c>
      <c r="AC75" s="88">
        <f t="shared" si="22"/>
        <v>2380.1753972551646</v>
      </c>
      <c r="AD75" s="88">
        <f t="shared" si="16"/>
        <v>2390.0882054806602</v>
      </c>
      <c r="AE75" s="88">
        <f t="shared" si="16"/>
        <v>2331.7127792638516</v>
      </c>
      <c r="AF75" s="88">
        <f t="shared" si="16"/>
        <v>2243.5989283705553</v>
      </c>
    </row>
    <row r="76" spans="1:32" ht="16.5" hidden="1">
      <c r="A76" s="63"/>
      <c r="B76" s="63"/>
      <c r="C76" s="63"/>
      <c r="D76" s="63" t="s">
        <v>29</v>
      </c>
      <c r="E76" s="113">
        <f>Simulator!G6</f>
        <v>1400</v>
      </c>
      <c r="G76" s="63">
        <f t="shared" si="17"/>
        <v>96</v>
      </c>
      <c r="H76" s="68">
        <v>12</v>
      </c>
      <c r="I76" s="68">
        <v>8</v>
      </c>
      <c r="J76" s="63" t="str">
        <f t="shared" si="12"/>
        <v>CLU038-1208C4</v>
      </c>
      <c r="K76" s="107">
        <f>Tcスペック算出!I14</f>
        <v>35.148566502536383</v>
      </c>
      <c r="L76" s="88">
        <f t="shared" si="18"/>
        <v>4369.0777379933552</v>
      </c>
      <c r="M76" s="88">
        <f t="shared" ref="M76:O76" si="24">M59/$K59</f>
        <v>4325.0789692320932</v>
      </c>
      <c r="N76" s="88">
        <f t="shared" si="24"/>
        <v>4207.3822627957161</v>
      </c>
      <c r="O76" s="88">
        <f t="shared" si="24"/>
        <v>4198.5825090434637</v>
      </c>
      <c r="P76" s="88">
        <f t="shared" ref="P76" si="25">P59/$K59</f>
        <v>4164.4834632534858</v>
      </c>
      <c r="Q76" s="88">
        <f t="shared" si="14"/>
        <v>4123.7846021493178</v>
      </c>
      <c r="R76" s="88">
        <f t="shared" si="14"/>
        <v>4076.4859257309604</v>
      </c>
      <c r="S76" s="88">
        <f t="shared" si="14"/>
        <v>4043.4868491600137</v>
      </c>
      <c r="T76" s="88">
        <f t="shared" si="14"/>
        <v>3973.088819141994</v>
      </c>
      <c r="U76" s="88">
        <f t="shared" si="14"/>
        <v>3811.3933439443545</v>
      </c>
      <c r="V76" s="88">
        <f t="shared" ref="V76:V83" si="26">V59/$K59</f>
        <v>3574.8999618525695</v>
      </c>
      <c r="W76" s="88">
        <f t="shared" si="15"/>
        <v>3456.1032861971607</v>
      </c>
      <c r="X76" s="88">
        <f t="shared" si="15"/>
        <v>3453.9033477590979</v>
      </c>
      <c r="Y76" s="88">
        <f t="shared" si="15"/>
        <v>3404.4047329026776</v>
      </c>
      <c r="Z76" s="88">
        <f t="shared" si="15"/>
        <v>3273.5083958379219</v>
      </c>
      <c r="AA76" s="88">
        <f t="shared" si="22"/>
        <v>3280.1082111521114</v>
      </c>
      <c r="AB76" s="88">
        <f t="shared" si="22"/>
        <v>3233.9095039527856</v>
      </c>
      <c r="AC76" s="88">
        <f t="shared" si="22"/>
        <v>3109.6129822022194</v>
      </c>
      <c r="AD76" s="88">
        <f t="shared" si="16"/>
        <v>3122.812612830598</v>
      </c>
      <c r="AE76" s="88">
        <f t="shared" si="16"/>
        <v>3045.8147674983888</v>
      </c>
      <c r="AF76" s="88">
        <f t="shared" si="16"/>
        <v>2929.2180302810439</v>
      </c>
    </row>
    <row r="77" spans="1:32" ht="16.5" hidden="1">
      <c r="A77" s="63"/>
      <c r="B77" s="108"/>
      <c r="C77" s="108"/>
      <c r="D77" s="63"/>
      <c r="E77" s="63"/>
      <c r="G77" s="63">
        <f t="shared" si="17"/>
        <v>120</v>
      </c>
      <c r="H77" s="68">
        <v>12</v>
      </c>
      <c r="I77" s="68">
        <v>10</v>
      </c>
      <c r="J77" s="63" t="str">
        <f t="shared" si="12"/>
        <v>CLU038-1210C4</v>
      </c>
      <c r="K77" s="107">
        <f>Tcスペック算出!I15</f>
        <v>35.138845941719907</v>
      </c>
      <c r="L77" s="88">
        <f t="shared" si="18"/>
        <v>5419.8087305514437</v>
      </c>
      <c r="M77" s="88">
        <f>M60/$K60</f>
        <v>5365.973209003294</v>
      </c>
      <c r="N77" s="88">
        <f t="shared" ref="N77:O77" si="27">N60/$K60</f>
        <v>5220.9469060572592</v>
      </c>
      <c r="O77" s="88">
        <f t="shared" si="27"/>
        <v>5208.8613808117561</v>
      </c>
      <c r="P77" s="88">
        <f t="shared" ref="P77" si="28">P60/$K60</f>
        <v>5167.1113845091095</v>
      </c>
      <c r="Q77" s="88">
        <f t="shared" si="14"/>
        <v>5115.473231187415</v>
      </c>
      <c r="R77" s="88">
        <f t="shared" si="14"/>
        <v>5056.1442890731287</v>
      </c>
      <c r="S77" s="88">
        <f t="shared" si="14"/>
        <v>5014.394292770482</v>
      </c>
      <c r="T77" s="88">
        <f t="shared" si="14"/>
        <v>4929.7956160519616</v>
      </c>
      <c r="U77" s="88">
        <f t="shared" si="14"/>
        <v>4719.9469504255021</v>
      </c>
      <c r="V77" s="88">
        <f t="shared" si="26"/>
        <v>4434.289080986342</v>
      </c>
      <c r="W77" s="88">
        <f t="shared" si="15"/>
        <v>4288.1640939270792</v>
      </c>
      <c r="X77" s="88">
        <f t="shared" si="15"/>
        <v>4280.4733051344865</v>
      </c>
      <c r="Y77" s="88">
        <f t="shared" si="15"/>
        <v>4223.3417312466545</v>
      </c>
      <c r="Z77" s="88">
        <f t="shared" si="15"/>
        <v>4053.0456936963865</v>
      </c>
      <c r="AA77" s="87"/>
      <c r="AB77" s="87"/>
      <c r="AC77" s="87"/>
      <c r="AD77" s="87"/>
      <c r="AE77" s="87"/>
      <c r="AF77" s="87"/>
    </row>
    <row r="78" spans="1:32" ht="16.5" hidden="1">
      <c r="A78" s="63"/>
      <c r="B78" s="114"/>
      <c r="C78" s="85"/>
      <c r="D78" s="63" t="s">
        <v>51</v>
      </c>
      <c r="E78" s="115">
        <f>Simulator!L6</f>
        <v>25</v>
      </c>
      <c r="G78" s="63">
        <f t="shared" ref="G78" si="29">H78*I78</f>
        <v>132</v>
      </c>
      <c r="H78" s="68">
        <v>12</v>
      </c>
      <c r="I78" s="68">
        <v>11</v>
      </c>
      <c r="J78" s="63" t="str">
        <f t="shared" si="12"/>
        <v>CLU048-1211C4</v>
      </c>
      <c r="K78" s="107">
        <f>Tcスペック算出!I16</f>
        <v>35.141280045346839</v>
      </c>
      <c r="L78" s="88">
        <f t="shared" si="18"/>
        <v>6207.1788358913909</v>
      </c>
      <c r="M78" s="88">
        <f>M61/$K61</f>
        <v>6143.4365603103533</v>
      </c>
      <c r="N78" s="88">
        <f t="shared" ref="N78:O79" si="30">N61/$K61</f>
        <v>5978.5858476007734</v>
      </c>
      <c r="O78" s="88">
        <f t="shared" si="30"/>
        <v>5964.2987858326096</v>
      </c>
      <c r="P78" s="88">
        <f t="shared" ref="P78" si="31">P61/$K61</f>
        <v>5917.0415815225297</v>
      </c>
      <c r="Q78" s="88">
        <f t="shared" si="14"/>
        <v>5857.6953249470816</v>
      </c>
      <c r="R78" s="88">
        <f t="shared" si="14"/>
        <v>5790.6560351118524</v>
      </c>
      <c r="S78" s="88">
        <f t="shared" si="14"/>
        <v>5744.4978355531694</v>
      </c>
      <c r="T78" s="88">
        <f t="shared" si="14"/>
        <v>5645.5874079274217</v>
      </c>
      <c r="U78" s="88">
        <f t="shared" si="14"/>
        <v>5413.6974053826116</v>
      </c>
      <c r="V78" s="88">
        <f t="shared" si="26"/>
        <v>5078.5009562064661</v>
      </c>
      <c r="W78" s="88">
        <f t="shared" si="15"/>
        <v>4910.3532292426944</v>
      </c>
      <c r="X78" s="88">
        <f t="shared" si="15"/>
        <v>4904.8582054857079</v>
      </c>
      <c r="Y78" s="88">
        <f t="shared" si="15"/>
        <v>4835.6209061476848</v>
      </c>
      <c r="Z78" s="88">
        <f t="shared" si="15"/>
        <v>4649.8891031615576</v>
      </c>
      <c r="AA78" s="88">
        <f t="shared" ref="AA78:AF79" si="32">AA61/$K61</f>
        <v>4659.7801459241318</v>
      </c>
      <c r="AB78" s="88">
        <f t="shared" si="32"/>
        <v>4594.9388655916973</v>
      </c>
      <c r="AC78" s="88">
        <f t="shared" si="32"/>
        <v>4417.9991006167484</v>
      </c>
      <c r="AD78" s="88">
        <f t="shared" si="32"/>
        <v>4435.5831766391029</v>
      </c>
      <c r="AE78" s="88">
        <f t="shared" si="32"/>
        <v>4327.8807110021771</v>
      </c>
      <c r="AF78" s="88">
        <f t="shared" si="32"/>
        <v>4160.8319887898033</v>
      </c>
    </row>
    <row r="79" spans="1:32" ht="16.5" hidden="1">
      <c r="A79" s="63"/>
      <c r="B79" s="114"/>
      <c r="C79" s="85"/>
      <c r="G79" s="63">
        <f t="shared" si="17"/>
        <v>144</v>
      </c>
      <c r="H79" s="68">
        <v>12</v>
      </c>
      <c r="I79" s="68">
        <v>12</v>
      </c>
      <c r="J79" s="63" t="str">
        <f t="shared" si="12"/>
        <v>CLU048-1212C4</v>
      </c>
      <c r="K79" s="107">
        <f>Tcスペック算出!I17</f>
        <v>35.148566502536383</v>
      </c>
      <c r="L79" s="88">
        <f t="shared" ref="L79" si="33">L62/$K62</f>
        <v>6776.9103584534396</v>
      </c>
      <c r="M79" s="88">
        <f>M62/$K62</f>
        <v>6708.7122668734828</v>
      </c>
      <c r="N79" s="88">
        <f t="shared" si="30"/>
        <v>6528.3173149523072</v>
      </c>
      <c r="O79" s="88">
        <f t="shared" si="30"/>
        <v>6511.8177766668341</v>
      </c>
      <c r="P79" s="88">
        <f t="shared" ref="P79" si="34">P62/$K62</f>
        <v>6460.1192233723505</v>
      </c>
      <c r="Q79" s="88">
        <f t="shared" si="14"/>
        <v>6396.3210086685203</v>
      </c>
      <c r="R79" s="88">
        <f t="shared" si="14"/>
        <v>6322.6230709934052</v>
      </c>
      <c r="S79" s="88">
        <f t="shared" si="14"/>
        <v>6272.0244869179542</v>
      </c>
      <c r="T79" s="88">
        <f t="shared" si="14"/>
        <v>6163.1275342338295</v>
      </c>
      <c r="U79" s="88">
        <f t="shared" si="14"/>
        <v>5911.2345830756021</v>
      </c>
      <c r="V79" s="88">
        <f t="shared" si="26"/>
        <v>5544.9448331380927</v>
      </c>
      <c r="W79" s="88">
        <f t="shared" si="15"/>
        <v>5360.1500043407905</v>
      </c>
      <c r="X79" s="88">
        <f t="shared" si="15"/>
        <v>5355.7501274646647</v>
      </c>
      <c r="Y79" s="88">
        <f t="shared" si="15"/>
        <v>5279.8522513514872</v>
      </c>
      <c r="Z79" s="88">
        <f t="shared" si="15"/>
        <v>5076.3579458306485</v>
      </c>
      <c r="AA79" s="88">
        <f t="shared" si="32"/>
        <v>5087.3576380209643</v>
      </c>
      <c r="AB79" s="88">
        <f t="shared" si="32"/>
        <v>5016.9596080029442</v>
      </c>
      <c r="AC79" s="88">
        <f t="shared" si="32"/>
        <v>4823.3650254533895</v>
      </c>
      <c r="AD79" s="88">
        <f t="shared" si="32"/>
        <v>4843.1644713959577</v>
      </c>
      <c r="AE79" s="88">
        <f t="shared" si="32"/>
        <v>4724.3677957405489</v>
      </c>
      <c r="AF79" s="88">
        <f t="shared" si="32"/>
        <v>4542.8728746003417</v>
      </c>
    </row>
    <row r="80" spans="1:32" ht="16.5" hidden="1">
      <c r="A80" s="63"/>
      <c r="B80" s="63"/>
      <c r="C80" s="63"/>
      <c r="D80" s="116" t="s">
        <v>52</v>
      </c>
      <c r="E80" s="115">
        <f>E76/E74</f>
        <v>1400.0000000186776</v>
      </c>
      <c r="G80" s="63">
        <f t="shared" si="17"/>
        <v>216</v>
      </c>
      <c r="H80" s="68">
        <v>18</v>
      </c>
      <c r="I80" s="68">
        <v>12</v>
      </c>
      <c r="J80" s="63" t="str">
        <f t="shared" si="12"/>
        <v>CLU048-1812C4</v>
      </c>
      <c r="K80" s="107">
        <f>Tcスペック算出!I18</f>
        <v>52.781427311320726</v>
      </c>
      <c r="L80" s="88">
        <f t="shared" ref="L80:O80" si="35">L63/$K63</f>
        <v>9883.2369550989806</v>
      </c>
      <c r="M80" s="88">
        <f>M63/$K63</f>
        <v>9784.590916953377</v>
      </c>
      <c r="N80" s="88">
        <f t="shared" si="35"/>
        <v>9521.5348152317674</v>
      </c>
      <c r="O80" s="88">
        <f t="shared" si="35"/>
        <v>9496.325272150114</v>
      </c>
      <c r="P80" s="88">
        <f t="shared" ref="P80" si="36">P63/$K63</f>
        <v>9421.7927099956578</v>
      </c>
      <c r="Q80" s="88">
        <f t="shared" si="14"/>
        <v>9328.627007302588</v>
      </c>
      <c r="R80" s="88">
        <f t="shared" si="14"/>
        <v>9220.1163653424228</v>
      </c>
      <c r="S80" s="88">
        <f t="shared" si="14"/>
        <v>9141.1995348259406</v>
      </c>
      <c r="T80" s="88">
        <f t="shared" si="14"/>
        <v>8988.8462092455084</v>
      </c>
      <c r="U80" s="88">
        <f t="shared" si="14"/>
        <v>8619.4715997447474</v>
      </c>
      <c r="V80" s="88">
        <f t="shared" si="26"/>
        <v>8088.9751279395014</v>
      </c>
      <c r="W80" s="88">
        <f t="shared" si="15"/>
        <v>7818.2465565843449</v>
      </c>
      <c r="X80" s="88">
        <f t="shared" si="15"/>
        <v>7805.0937514982643</v>
      </c>
      <c r="Y80" s="88">
        <f t="shared" si="15"/>
        <v>7700.9673779001268</v>
      </c>
      <c r="Z80" s="88">
        <f t="shared" si="15"/>
        <v>7401.7410621917961</v>
      </c>
      <c r="AA80" s="87"/>
      <c r="AB80" s="87"/>
      <c r="AC80" s="87"/>
      <c r="AD80" s="88">
        <f>AD63/$K63</f>
        <v>7063.0563312252234</v>
      </c>
      <c r="AE80" s="88">
        <f>AE63/$K63</f>
        <v>6892.0698651061766</v>
      </c>
      <c r="AF80" s="88">
        <f>AF63/$K63</f>
        <v>6624.6294950225401</v>
      </c>
    </row>
    <row r="81" spans="1:32" ht="16.5" hidden="1">
      <c r="A81" s="63"/>
      <c r="B81" s="63"/>
      <c r="C81" s="117"/>
      <c r="G81" s="63">
        <f t="shared" si="17"/>
        <v>324</v>
      </c>
      <c r="H81" s="68">
        <v>18</v>
      </c>
      <c r="I81" s="68">
        <v>18</v>
      </c>
      <c r="J81" s="63" t="str">
        <f t="shared" si="12"/>
        <v>CLU048-1818C4</v>
      </c>
      <c r="K81" s="107">
        <f>Tcスペック算出!I19</f>
        <v>52.781427311320726</v>
      </c>
      <c r="L81" s="88">
        <f t="shared" ref="L81:O81" si="37">L64/$K64</f>
        <v>14426.435045249284</v>
      </c>
      <c r="M81" s="88">
        <f>M64/$K64</f>
        <v>14280.658122211891</v>
      </c>
      <c r="N81" s="88">
        <f t="shared" si="37"/>
        <v>13894.842506353531</v>
      </c>
      <c r="O81" s="88">
        <f t="shared" si="37"/>
        <v>13863.056560728837</v>
      </c>
      <c r="P81" s="88">
        <f t="shared" ref="P81" si="38">P64/$K64</f>
        <v>13752.353784587658</v>
      </c>
      <c r="Q81" s="88">
        <f t="shared" si="14"/>
        <v>13616.441465364827</v>
      </c>
      <c r="R81" s="88">
        <f t="shared" si="14"/>
        <v>13458.607804331861</v>
      </c>
      <c r="S81" s="88">
        <f t="shared" si="14"/>
        <v>13351.193229462204</v>
      </c>
      <c r="T81" s="88">
        <f t="shared" si="14"/>
        <v>13119.923073365289</v>
      </c>
      <c r="U81" s="88">
        <f t="shared" si="14"/>
        <v>12582.850199017003</v>
      </c>
      <c r="V81" s="88">
        <f t="shared" si="26"/>
        <v>11805.738631847746</v>
      </c>
      <c r="W81" s="88">
        <f t="shared" si="15"/>
        <v>11411.154479265331</v>
      </c>
      <c r="X81" s="88">
        <f t="shared" si="15"/>
        <v>11402.385942541277</v>
      </c>
      <c r="Y81" s="88">
        <f t="shared" si="15"/>
        <v>11241.264080236791</v>
      </c>
      <c r="Z81" s="88">
        <f t="shared" si="15"/>
        <v>10807.221512396136</v>
      </c>
      <c r="AA81" s="87"/>
      <c r="AB81" s="87"/>
      <c r="AC81" s="87"/>
      <c r="AD81" s="87"/>
      <c r="AE81" s="87"/>
      <c r="AF81" s="87"/>
    </row>
    <row r="82" spans="1:32" ht="16.5" hidden="1">
      <c r="A82" s="63"/>
      <c r="B82" s="63"/>
      <c r="C82" s="64"/>
      <c r="G82" s="63">
        <f t="shared" si="17"/>
        <v>450</v>
      </c>
      <c r="H82" s="68">
        <v>18</v>
      </c>
      <c r="I82" s="68">
        <v>25</v>
      </c>
      <c r="J82" s="63" t="str">
        <f t="shared" si="12"/>
        <v>CLU058-1825C4</v>
      </c>
      <c r="K82" s="107">
        <f>Tcスペック算出!I20</f>
        <v>52.729707597606406</v>
      </c>
      <c r="L82" s="88">
        <f>L65/$K65</f>
        <v>21041.438871274338</v>
      </c>
      <c r="M82" s="88">
        <f t="shared" ref="M82:O82" si="39">M65/$K65</f>
        <v>20829.648939707087</v>
      </c>
      <c r="N82" s="88">
        <f t="shared" si="39"/>
        <v>20267.423090443503</v>
      </c>
      <c r="O82" s="88">
        <f t="shared" si="39"/>
        <v>20218.296559925326</v>
      </c>
      <c r="P82" s="88">
        <f t="shared" ref="P82" si="40">P65/$K65</f>
        <v>20057.816560232615</v>
      </c>
      <c r="Q82" s="86">
        <f t="shared" si="14"/>
        <v>19859.127036803544</v>
      </c>
      <c r="R82" s="88">
        <f t="shared" si="14"/>
        <v>19628.778193707203</v>
      </c>
      <c r="S82" s="88">
        <f t="shared" si="14"/>
        <v>19471.573296049035</v>
      </c>
      <c r="T82" s="88">
        <f t="shared" si="14"/>
        <v>19135.329487169067</v>
      </c>
      <c r="U82" s="88">
        <f t="shared" si="14"/>
        <v>18352.580100912779</v>
      </c>
      <c r="V82" s="88">
        <f t="shared" si="26"/>
        <v>17219.394796960161</v>
      </c>
      <c r="W82" s="88">
        <f t="shared" si="15"/>
        <v>16645.160240236579</v>
      </c>
      <c r="X82" s="88">
        <f t="shared" si="15"/>
        <v>16629.876430742035</v>
      </c>
      <c r="Y82" s="88">
        <f t="shared" si="15"/>
        <v>16395.160784932967</v>
      </c>
      <c r="Z82" s="88">
        <f t="shared" si="15"/>
        <v>15760.882690909391</v>
      </c>
      <c r="AA82" s="87"/>
      <c r="AB82" s="87"/>
      <c r="AC82" s="87"/>
      <c r="AD82" s="87"/>
      <c r="AE82" s="87"/>
      <c r="AF82" s="87"/>
    </row>
    <row r="83" spans="1:32" ht="16.5" hidden="1">
      <c r="A83" s="63"/>
      <c r="B83" s="63"/>
      <c r="C83" s="64"/>
      <c r="G83" s="63">
        <f t="shared" ref="G83" si="41">H83*I83</f>
        <v>648</v>
      </c>
      <c r="H83" s="68">
        <v>36</v>
      </c>
      <c r="I83" s="68">
        <v>18</v>
      </c>
      <c r="J83" s="63" t="str">
        <f t="shared" si="12"/>
        <v>CLU058-3618C4</v>
      </c>
      <c r="K83" s="107">
        <f>Tcスペック算出!I21</f>
        <v>105.30918466195477</v>
      </c>
      <c r="L83" s="88">
        <f t="shared" ref="L83:O83" si="42">L66/$K66</f>
        <v>29003.959418302577</v>
      </c>
      <c r="M83" s="88">
        <f t="shared" si="42"/>
        <v>28636.710336056927</v>
      </c>
      <c r="N83" s="88">
        <f t="shared" si="42"/>
        <v>27860.801295822796</v>
      </c>
      <c r="O83" s="88">
        <f t="shared" si="42"/>
        <v>27868.429615038582</v>
      </c>
      <c r="P83" s="88">
        <f t="shared" ref="P83" si="43">P66/$K66</f>
        <v>27648.298117668786</v>
      </c>
      <c r="Q83" s="88">
        <f t="shared" si="14"/>
        <v>27374.768385788495</v>
      </c>
      <c r="R83" s="88">
        <f t="shared" si="14"/>
        <v>26986.813865671425</v>
      </c>
      <c r="S83" s="88">
        <f t="shared" si="14"/>
        <v>26766.68236830163</v>
      </c>
      <c r="T83" s="88">
        <f t="shared" si="14"/>
        <v>26303.534415914684</v>
      </c>
      <c r="U83" s="88">
        <f t="shared" si="14"/>
        <v>25184.351010970226</v>
      </c>
      <c r="V83" s="88">
        <f t="shared" si="26"/>
        <v>23675.033566132763</v>
      </c>
      <c r="W83" s="88">
        <f t="shared" si="15"/>
        <v>22882.778127579091</v>
      </c>
      <c r="X83" s="88">
        <f t="shared" si="15"/>
        <v>22857.713650155798</v>
      </c>
      <c r="Y83" s="88">
        <f t="shared" si="15"/>
        <v>22537.324243092829</v>
      </c>
      <c r="Z83" s="88">
        <f t="shared" si="15"/>
        <v>21628.464496526442</v>
      </c>
      <c r="AA83" s="87"/>
      <c r="AB83" s="87"/>
      <c r="AC83" s="87"/>
      <c r="AD83" s="87"/>
      <c r="AE83" s="87"/>
      <c r="AF83" s="87"/>
    </row>
    <row r="84" spans="1:32" ht="16.5" hidden="1"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32" ht="16.5" hidden="1">
      <c r="G85" s="63"/>
      <c r="H85" s="63"/>
      <c r="I85" s="63"/>
      <c r="J85" s="63"/>
      <c r="K85" s="63"/>
      <c r="L85" s="63"/>
      <c r="M85" s="63"/>
      <c r="N85" s="63"/>
      <c r="O85" s="63"/>
      <c r="P85" s="109">
        <v>0.92</v>
      </c>
      <c r="Q85" s="109">
        <v>1.08</v>
      </c>
      <c r="R85" s="63"/>
      <c r="S85" s="63"/>
      <c r="T85" s="63"/>
      <c r="U85" s="63"/>
      <c r="V85" s="63"/>
      <c r="W85" s="63"/>
    </row>
    <row r="86" spans="1:32" ht="16.5" hidden="1">
      <c r="A86" s="63"/>
      <c r="B86" s="109"/>
      <c r="C86" s="117"/>
      <c r="G86" s="63"/>
      <c r="H86" s="63" t="s">
        <v>53</v>
      </c>
      <c r="I86" s="63"/>
      <c r="J86" s="63"/>
      <c r="K86" s="103" t="str">
        <f>HLOOKUP(Simulator!$C$6,Calculation!L$68:AF$83,2,FALSE)</f>
        <v>5000K,80Min</v>
      </c>
      <c r="L86" s="103" t="s">
        <v>54</v>
      </c>
      <c r="M86" s="103" t="s">
        <v>55</v>
      </c>
      <c r="N86" s="118" t="s">
        <v>56</v>
      </c>
      <c r="O86" s="103" t="s">
        <v>76</v>
      </c>
      <c r="P86" s="119" t="s">
        <v>73</v>
      </c>
      <c r="Q86" s="119" t="s">
        <v>75</v>
      </c>
      <c r="R86" s="120" t="s">
        <v>57</v>
      </c>
      <c r="S86" s="118" t="s">
        <v>34</v>
      </c>
      <c r="T86" s="118"/>
      <c r="U86" s="118" t="s">
        <v>28</v>
      </c>
      <c r="V86" s="103" t="s">
        <v>58</v>
      </c>
      <c r="W86" s="103" t="s">
        <v>171</v>
      </c>
      <c r="X86" s="118" t="s">
        <v>59</v>
      </c>
      <c r="Y86" s="63"/>
    </row>
    <row r="87" spans="1:32" ht="16.5" hidden="1">
      <c r="A87" s="63"/>
      <c r="B87" s="109"/>
      <c r="C87" s="117"/>
      <c r="G87" s="63"/>
      <c r="H87" s="114">
        <f t="shared" ref="H87:H100" si="44">K87/G70</f>
        <v>45.054163902577024</v>
      </c>
      <c r="I87" s="63"/>
      <c r="J87" s="63" t="str">
        <f t="shared" ref="J87:J100" si="45">J70</f>
        <v>CLU028-1201C4</v>
      </c>
      <c r="K87" s="121">
        <f>HLOOKUP(Simulator!$C$6,Calculation!L$68:AF$83,3,FALSE)</f>
        <v>540.64996683092431</v>
      </c>
      <c r="L87" s="85">
        <f t="shared" ref="L87:L100" si="46">E$80/K87</f>
        <v>2.5894757900845207</v>
      </c>
      <c r="M87" s="114">
        <f>C$69*$L87^3+C$70*$L87^2+C$71*$L87+C$72</f>
        <v>271.52366375887129</v>
      </c>
      <c r="N87" s="122">
        <f t="shared" ref="N87:N100" si="47">M87*I70</f>
        <v>271.52366375887129</v>
      </c>
      <c r="O87" s="123">
        <f t="shared" ref="O87:O100" si="48">(D$69*$M87^2+D$70*$M87+D$71)*K70</f>
        <v>39.888571750842964</v>
      </c>
      <c r="P87" s="124">
        <f>O87*$P$85</f>
        <v>36.697486010775528</v>
      </c>
      <c r="Q87" s="124">
        <f>O87*$Q$85</f>
        <v>43.079657490910407</v>
      </c>
      <c r="R87" s="125">
        <f t="shared" ref="R87:R100" si="49" xml:space="preserve"> (F$69*$E$78^2+F$70*$E$78+F$71)*O87</f>
        <v>39.888571750019722</v>
      </c>
      <c r="S87" s="126">
        <f>N87*R87/1000</f>
        <v>10.830691143673967</v>
      </c>
      <c r="T87" s="126"/>
      <c r="U87" s="126">
        <f>E$76/S87</f>
        <v>129.26229558468367</v>
      </c>
      <c r="V87" s="146">
        <v>2.6</v>
      </c>
      <c r="W87" s="114">
        <f>S87*V87</f>
        <v>28.159796973552314</v>
      </c>
      <c r="X87" s="126">
        <f t="shared" ref="X87:X100" si="50">IFERROR(E$78+W87,FALSE)</f>
        <v>53.159796973552318</v>
      </c>
      <c r="Y87" s="63"/>
    </row>
    <row r="88" spans="1:32" ht="16.5" hidden="1">
      <c r="A88" s="98"/>
      <c r="B88" s="98"/>
      <c r="C88" s="98"/>
      <c r="D88" s="103"/>
      <c r="E88" s="103"/>
      <c r="F88" s="103"/>
      <c r="H88" s="114">
        <f t="shared" si="44"/>
        <v>44.273171027732424</v>
      </c>
      <c r="I88" s="63"/>
      <c r="J88" s="63" t="str">
        <f t="shared" si="45"/>
        <v>CLU028-1202C4</v>
      </c>
      <c r="K88" s="121">
        <f>HLOOKUP(Simulator!$C$6,Calculation!L$68:AF$83,4,FALSE)</f>
        <v>1062.5561046655782</v>
      </c>
      <c r="L88" s="85">
        <f t="shared" si="46"/>
        <v>1.317577484964245</v>
      </c>
      <c r="M88" s="114">
        <f t="shared" ref="M88:M100" si="51">C$69*$L88^3+C$70*$L88^2+C$71*$L88+C$72</f>
        <v>122.35820815450792</v>
      </c>
      <c r="N88" s="122">
        <f t="shared" si="47"/>
        <v>244.71641630901584</v>
      </c>
      <c r="O88" s="123">
        <f t="shared" si="48"/>
        <v>36.317856849547972</v>
      </c>
      <c r="P88" s="124">
        <f t="shared" ref="P88:P100" si="52">O88*$P$85</f>
        <v>33.412428301584136</v>
      </c>
      <c r="Q88" s="124">
        <f t="shared" ref="Q88:Q100" si="53">O88*$Q$85</f>
        <v>39.223285397511816</v>
      </c>
      <c r="R88" s="125">
        <f t="shared" si="49"/>
        <v>36.317856848798421</v>
      </c>
      <c r="S88" s="126">
        <f t="shared" ref="S88:S99" si="54">N88*R88/1000</f>
        <v>8.8875757760617962</v>
      </c>
      <c r="T88" s="126"/>
      <c r="U88" s="126">
        <f t="shared" ref="U88:U100" si="55">E$76/S88</f>
        <v>157.52327015549326</v>
      </c>
      <c r="V88" s="146">
        <v>1.5</v>
      </c>
      <c r="W88" s="114">
        <f>S88*V88</f>
        <v>13.331363664092695</v>
      </c>
      <c r="X88" s="126">
        <f t="shared" si="50"/>
        <v>38.331363664092692</v>
      </c>
      <c r="Y88" s="63"/>
    </row>
    <row r="89" spans="1:32" ht="16.5" hidden="1">
      <c r="A89" s="103"/>
      <c r="B89" s="127"/>
      <c r="C89" s="127"/>
      <c r="D89" s="127"/>
      <c r="E89" s="127"/>
      <c r="F89" s="127"/>
      <c r="H89" s="114">
        <f t="shared" si="44"/>
        <v>43.473794328620592</v>
      </c>
      <c r="I89" s="63"/>
      <c r="J89" s="63" t="str">
        <f t="shared" si="45"/>
        <v>CLU028-1203C4</v>
      </c>
      <c r="K89" s="121">
        <f>HLOOKUP(Simulator!$C$6,Calculation!L$68:AF$83,5,FALSE)</f>
        <v>1565.0565958303414</v>
      </c>
      <c r="L89" s="85">
        <f t="shared" si="46"/>
        <v>0.89453634056978437</v>
      </c>
      <c r="M89" s="114">
        <f t="shared" si="51"/>
        <v>79.664791518800968</v>
      </c>
      <c r="N89" s="122">
        <f t="shared" si="47"/>
        <v>238.9943745564029</v>
      </c>
      <c r="O89" s="123">
        <f t="shared" si="48"/>
        <v>34.815205999820122</v>
      </c>
      <c r="P89" s="124">
        <f t="shared" si="52"/>
        <v>32.029989519834515</v>
      </c>
      <c r="Q89" s="124">
        <f t="shared" si="53"/>
        <v>37.600422479805736</v>
      </c>
      <c r="R89" s="125">
        <f t="shared" si="49"/>
        <v>34.815205999101586</v>
      </c>
      <c r="S89" s="126">
        <f t="shared" si="54"/>
        <v>8.3206383828076103</v>
      </c>
      <c r="T89" s="126"/>
      <c r="U89" s="126">
        <f t="shared" si="55"/>
        <v>168.25632068000073</v>
      </c>
      <c r="V89" s="146">
        <v>1</v>
      </c>
      <c r="W89" s="114">
        <f t="shared" ref="W89:W98" si="56">S89*V89</f>
        <v>8.3206383828076103</v>
      </c>
      <c r="X89" s="126">
        <f t="shared" si="50"/>
        <v>33.320638382807608</v>
      </c>
      <c r="Y89" s="63"/>
    </row>
    <row r="90" spans="1:32" ht="16.5" hidden="1">
      <c r="A90" s="103"/>
      <c r="B90" s="127"/>
      <c r="C90" s="127"/>
      <c r="D90" s="127"/>
      <c r="E90" s="127"/>
      <c r="F90" s="127"/>
      <c r="H90" s="114">
        <f t="shared" si="44"/>
        <v>42.519628890398572</v>
      </c>
      <c r="I90" s="63"/>
      <c r="J90" s="63" t="str">
        <f t="shared" si="45"/>
        <v>CLU028-1204C4</v>
      </c>
      <c r="K90" s="121">
        <f>HLOOKUP(Simulator!$C$6,Calculation!L$68:AF$83,6,FALSE)</f>
        <v>2040.9421867391316</v>
      </c>
      <c r="L90" s="85">
        <f t="shared" si="46"/>
        <v>0.68595769596761358</v>
      </c>
      <c r="M90" s="114">
        <f t="shared" si="51"/>
        <v>59.833478759608774</v>
      </c>
      <c r="N90" s="122">
        <f t="shared" si="47"/>
        <v>239.33391503843509</v>
      </c>
      <c r="O90" s="123">
        <f t="shared" si="48"/>
        <v>34.017940418220782</v>
      </c>
      <c r="P90" s="124">
        <f t="shared" si="52"/>
        <v>31.29650518476312</v>
      </c>
      <c r="Q90" s="124">
        <f t="shared" si="53"/>
        <v>36.739375651678444</v>
      </c>
      <c r="R90" s="125">
        <f t="shared" si="49"/>
        <v>34.017940417518702</v>
      </c>
      <c r="S90" s="126">
        <f t="shared" si="54"/>
        <v>8.1416468616689688</v>
      </c>
      <c r="T90" s="126"/>
      <c r="U90" s="126">
        <f t="shared" si="55"/>
        <v>171.95538246582854</v>
      </c>
      <c r="V90" s="68">
        <v>0.86</v>
      </c>
      <c r="W90" s="114">
        <f t="shared" si="56"/>
        <v>7.0018163010353129</v>
      </c>
      <c r="X90" s="126">
        <f t="shared" si="50"/>
        <v>32.001816301035312</v>
      </c>
      <c r="Y90" s="63"/>
    </row>
    <row r="91" spans="1:32" ht="16.5" hidden="1">
      <c r="A91" s="103"/>
      <c r="B91" s="127"/>
      <c r="C91" s="127"/>
      <c r="D91" s="127"/>
      <c r="E91" s="127"/>
      <c r="F91" s="127"/>
      <c r="H91" s="114">
        <f t="shared" si="44"/>
        <v>44.399038288918227</v>
      </c>
      <c r="I91" s="63"/>
      <c r="J91" s="63" t="str">
        <f t="shared" si="45"/>
        <v>CLU038-1205C4</v>
      </c>
      <c r="K91" s="121">
        <f>HLOOKUP(Simulator!$C$6,Calculation!L$68:AF$83,7,FALSE)</f>
        <v>2663.9422973350938</v>
      </c>
      <c r="L91" s="85">
        <f t="shared" si="46"/>
        <v>0.52553690874580283</v>
      </c>
      <c r="M91" s="114">
        <f t="shared" si="51"/>
        <v>45.11854077323008</v>
      </c>
      <c r="N91" s="122">
        <f t="shared" si="47"/>
        <v>225.5927038661504</v>
      </c>
      <c r="O91" s="123">
        <f t="shared" si="48"/>
        <v>33.417605070092861</v>
      </c>
      <c r="P91" s="124">
        <f t="shared" si="52"/>
        <v>30.744196664485433</v>
      </c>
      <c r="Q91" s="124">
        <f t="shared" si="53"/>
        <v>36.091013475700294</v>
      </c>
      <c r="R91" s="125">
        <f t="shared" si="49"/>
        <v>33.417605069403166</v>
      </c>
      <c r="S91" s="126">
        <f t="shared" si="54"/>
        <v>7.5387678843378341</v>
      </c>
      <c r="T91" s="126"/>
      <c r="U91" s="126">
        <f t="shared" si="55"/>
        <v>185.70673901614211</v>
      </c>
      <c r="V91" s="68">
        <v>0.68</v>
      </c>
      <c r="W91" s="114">
        <f t="shared" si="56"/>
        <v>5.1263621613497277</v>
      </c>
      <c r="X91" s="126">
        <f t="shared" si="50"/>
        <v>30.126362161349729</v>
      </c>
      <c r="Y91" s="63"/>
    </row>
    <row r="92" spans="1:32" ht="16.5" hidden="1">
      <c r="A92" s="103"/>
      <c r="B92" s="127"/>
      <c r="C92" s="127"/>
      <c r="D92" s="63"/>
      <c r="E92" s="63"/>
      <c r="H92" s="114">
        <f t="shared" si="44"/>
        <v>43.858057380395884</v>
      </c>
      <c r="I92" s="63"/>
      <c r="J92" s="63" t="str">
        <f t="shared" si="45"/>
        <v>CLU038-1206C4</v>
      </c>
      <c r="K92" s="121">
        <f>HLOOKUP(Simulator!$C$6,Calculation!L$68:AF$83,8,FALSE)</f>
        <v>3157.7801313885038</v>
      </c>
      <c r="L92" s="85">
        <f t="shared" si="46"/>
        <v>0.44334942325547066</v>
      </c>
      <c r="M92" s="114">
        <f t="shared" si="51"/>
        <v>37.75890757664969</v>
      </c>
      <c r="N92" s="122">
        <f t="shared" si="47"/>
        <v>226.55344545989814</v>
      </c>
      <c r="O92" s="123">
        <f t="shared" si="48"/>
        <v>33.091802430769732</v>
      </c>
      <c r="P92" s="124">
        <f t="shared" si="52"/>
        <v>30.444458236308154</v>
      </c>
      <c r="Q92" s="124">
        <f t="shared" si="53"/>
        <v>35.739146625231314</v>
      </c>
      <c r="R92" s="125">
        <f t="shared" si="49"/>
        <v>33.091802430086766</v>
      </c>
      <c r="S92" s="126">
        <f t="shared" si="54"/>
        <v>7.497061857014387</v>
      </c>
      <c r="T92" s="126"/>
      <c r="U92" s="126">
        <f t="shared" si="55"/>
        <v>186.73982243992486</v>
      </c>
      <c r="V92" s="68">
        <v>0.61</v>
      </c>
      <c r="W92" s="114">
        <f t="shared" si="56"/>
        <v>4.5732077327787763</v>
      </c>
      <c r="X92" s="126">
        <f t="shared" si="50"/>
        <v>29.573207732778776</v>
      </c>
      <c r="Y92" s="63"/>
    </row>
    <row r="93" spans="1:32" ht="16.5" hidden="1">
      <c r="A93" s="63"/>
      <c r="B93" s="128"/>
      <c r="C93" s="128"/>
      <c r="D93" s="63"/>
      <c r="E93" s="63"/>
      <c r="H93" s="114">
        <f t="shared" si="44"/>
        <v>42.956089605722063</v>
      </c>
      <c r="I93" s="63"/>
      <c r="J93" s="63" t="str">
        <f t="shared" si="45"/>
        <v>CLU038-1208C4</v>
      </c>
      <c r="K93" s="121">
        <f>HLOOKUP(Simulator!$C$6,Calculation!L$68:AF$83,9,FALSE)</f>
        <v>4123.7846021493178</v>
      </c>
      <c r="L93" s="85">
        <f t="shared" si="46"/>
        <v>0.33949396854748359</v>
      </c>
      <c r="M93" s="114">
        <f t="shared" si="51"/>
        <v>28.631199269963389</v>
      </c>
      <c r="N93" s="122">
        <f t="shared" si="47"/>
        <v>229.04959415970711</v>
      </c>
      <c r="O93" s="123">
        <f t="shared" si="48"/>
        <v>32.68705933542693</v>
      </c>
      <c r="P93" s="124">
        <f t="shared" si="52"/>
        <v>30.072094588592776</v>
      </c>
      <c r="Q93" s="124">
        <f t="shared" si="53"/>
        <v>35.302024082261084</v>
      </c>
      <c r="R93" s="125">
        <f t="shared" si="49"/>
        <v>32.687059334752313</v>
      </c>
      <c r="S93" s="126">
        <f t="shared" si="54"/>
        <v>7.4869576748992834</v>
      </c>
      <c r="T93" s="126"/>
      <c r="U93" s="126">
        <f t="shared" si="55"/>
        <v>186.99184111773855</v>
      </c>
      <c r="V93" s="68">
        <v>0.48</v>
      </c>
      <c r="W93" s="114">
        <f t="shared" si="56"/>
        <v>3.593739683951656</v>
      </c>
      <c r="X93" s="126">
        <f t="shared" si="50"/>
        <v>28.593739683951657</v>
      </c>
      <c r="Y93" s="63"/>
    </row>
    <row r="94" spans="1:32" ht="16.5" hidden="1">
      <c r="A94" s="63"/>
      <c r="B94" s="129"/>
      <c r="C94" s="130"/>
      <c r="D94" s="63"/>
      <c r="E94" s="131"/>
      <c r="H94" s="114">
        <f t="shared" si="44"/>
        <v>42.628943593228456</v>
      </c>
      <c r="I94" s="63"/>
      <c r="J94" s="63" t="str">
        <f t="shared" si="45"/>
        <v>CLU038-1210C4</v>
      </c>
      <c r="K94" s="121">
        <f>HLOOKUP(Simulator!$C$6,Calculation!L$68:AF$83,10,FALSE)</f>
        <v>5115.473231187415</v>
      </c>
      <c r="L94" s="85">
        <f t="shared" si="46"/>
        <v>0.27367946947377664</v>
      </c>
      <c r="M94" s="114">
        <f t="shared" si="51"/>
        <v>22.94579833499823</v>
      </c>
      <c r="N94" s="122">
        <f t="shared" si="47"/>
        <v>229.4579833499823</v>
      </c>
      <c r="O94" s="123">
        <f t="shared" si="48"/>
        <v>32.427353386219153</v>
      </c>
      <c r="P94" s="124">
        <f t="shared" si="52"/>
        <v>29.833165115321624</v>
      </c>
      <c r="Q94" s="124">
        <f t="shared" si="53"/>
        <v>35.021541657116686</v>
      </c>
      <c r="R94" s="125">
        <f t="shared" si="49"/>
        <v>32.4273533855499</v>
      </c>
      <c r="S94" s="126">
        <f t="shared" si="54"/>
        <v>7.4407151132255009</v>
      </c>
      <c r="T94" s="126"/>
      <c r="U94" s="126">
        <f t="shared" si="55"/>
        <v>188.15395814732506</v>
      </c>
      <c r="V94" s="107">
        <v>0.4</v>
      </c>
      <c r="W94" s="114">
        <f t="shared" si="56"/>
        <v>2.9762860452902005</v>
      </c>
      <c r="X94" s="126">
        <f t="shared" si="50"/>
        <v>27.976286045290202</v>
      </c>
      <c r="Y94" s="63"/>
    </row>
    <row r="95" spans="1:32" ht="16.5" hidden="1">
      <c r="A95" s="63"/>
      <c r="B95" s="63"/>
      <c r="C95" s="63"/>
      <c r="D95" s="63"/>
      <c r="E95" s="63"/>
      <c r="H95" s="114">
        <f t="shared" si="44"/>
        <v>44.376479734447585</v>
      </c>
      <c r="I95" s="63"/>
      <c r="J95" s="63" t="str">
        <f t="shared" si="45"/>
        <v>CLU048-1211C4</v>
      </c>
      <c r="K95" s="132">
        <f>HLOOKUP(Simulator!$C$6,Calculation!L$68:AF$83,11,FALSE)</f>
        <v>5857.6953249470816</v>
      </c>
      <c r="L95" s="85">
        <f>E$80/K95</f>
        <v>0.23900184669152713</v>
      </c>
      <c r="M95" s="114">
        <f>C$69*$L95^3+C$70*$L95^2+C$71*$L95+C$72</f>
        <v>19.980890442998586</v>
      </c>
      <c r="N95" s="122">
        <f>M95*I78</f>
        <v>219.78979487298443</v>
      </c>
      <c r="O95" s="123">
        <f>(D$69*$M95^2+D$70*$M95+D$71)*K78</f>
        <v>32.297343079140674</v>
      </c>
      <c r="P95" s="124">
        <f t="shared" ref="P95" si="57">O95*$P$85</f>
        <v>29.71355563280942</v>
      </c>
      <c r="Q95" s="124">
        <f t="shared" ref="Q95" si="58">O95*$Q$85</f>
        <v>34.881130525471931</v>
      </c>
      <c r="R95" s="125">
        <f xml:space="preserve"> (F$69*$E$78^2+F$70*$E$78+F$71)*O95</f>
        <v>32.2973430784741</v>
      </c>
      <c r="S95" s="133">
        <f>N95*R95/1000</f>
        <v>7.0986264101602252</v>
      </c>
      <c r="T95" s="126"/>
      <c r="U95" s="126">
        <f t="shared" ref="U95" si="59">E$76/S95</f>
        <v>197.22125367749845</v>
      </c>
      <c r="V95" s="68">
        <v>0.36</v>
      </c>
      <c r="W95" s="114">
        <f t="shared" ref="W95" si="60">S95*V95</f>
        <v>2.5555055076576809</v>
      </c>
      <c r="X95" s="126">
        <f t="shared" si="50"/>
        <v>27.555505507657681</v>
      </c>
      <c r="Y95" s="63"/>
    </row>
    <row r="96" spans="1:32" ht="16.5" hidden="1">
      <c r="A96" s="63"/>
      <c r="B96" s="63"/>
      <c r="C96" s="63"/>
      <c r="D96" s="63"/>
      <c r="E96" s="63"/>
      <c r="H96" s="114">
        <f t="shared" si="44"/>
        <v>44.418895893531392</v>
      </c>
      <c r="I96" s="63"/>
      <c r="J96" s="63" t="str">
        <f t="shared" si="45"/>
        <v>CLU048-1212C4</v>
      </c>
      <c r="K96" s="121">
        <f>HLOOKUP(Simulator!$C$6,Calculation!L$68:AF$83,12,FALSE)</f>
        <v>6396.3210086685203</v>
      </c>
      <c r="L96" s="85">
        <f t="shared" si="46"/>
        <v>0.2188758191030982</v>
      </c>
      <c r="M96" s="114">
        <f t="shared" si="51"/>
        <v>18.269829027704084</v>
      </c>
      <c r="N96" s="122">
        <f t="shared" si="47"/>
        <v>219.23794833244901</v>
      </c>
      <c r="O96" s="123">
        <f t="shared" si="48"/>
        <v>32.227221899251504</v>
      </c>
      <c r="P96" s="124">
        <f t="shared" si="52"/>
        <v>29.649044147311386</v>
      </c>
      <c r="Q96" s="124">
        <f t="shared" si="53"/>
        <v>34.805399651191628</v>
      </c>
      <c r="R96" s="125">
        <f t="shared" si="49"/>
        <v>32.227221898586379</v>
      </c>
      <c r="S96" s="126">
        <f t="shared" si="54"/>
        <v>7.0654300095006501</v>
      </c>
      <c r="T96" s="126"/>
      <c r="U96" s="126">
        <f t="shared" si="55"/>
        <v>198.14788316032659</v>
      </c>
      <c r="V96" s="68">
        <v>0.32</v>
      </c>
      <c r="W96" s="114">
        <f t="shared" si="56"/>
        <v>2.2609376030402082</v>
      </c>
      <c r="X96" s="126">
        <f t="shared" si="50"/>
        <v>27.260937603040208</v>
      </c>
      <c r="Y96" s="63"/>
    </row>
    <row r="97" spans="1:25" ht="16.5" hidden="1">
      <c r="A97" s="63"/>
      <c r="B97" s="63"/>
      <c r="C97" s="63"/>
      <c r="D97" s="63"/>
      <c r="E97" s="113"/>
      <c r="H97" s="114">
        <f t="shared" si="44"/>
        <v>43.188087996771237</v>
      </c>
      <c r="I97" s="63"/>
      <c r="J97" s="63" t="str">
        <f t="shared" si="45"/>
        <v>CLU048-1812C4</v>
      </c>
      <c r="K97" s="121">
        <f>HLOOKUP(Simulator!$C$6,Calculation!L$68:AF$83,13,FALSE)</f>
        <v>9328.627007302588</v>
      </c>
      <c r="L97" s="85">
        <f t="shared" si="46"/>
        <v>0.150075675543972</v>
      </c>
      <c r="M97" s="114">
        <f t="shared" si="51"/>
        <v>12.474253441524084</v>
      </c>
      <c r="N97" s="122">
        <f t="shared" si="47"/>
        <v>149.69104129828901</v>
      </c>
      <c r="O97" s="123">
        <f t="shared" si="48"/>
        <v>47.9999314086552</v>
      </c>
      <c r="P97" s="124">
        <f t="shared" si="52"/>
        <v>44.159936895962787</v>
      </c>
      <c r="Q97" s="124">
        <f t="shared" si="53"/>
        <v>51.839925921347621</v>
      </c>
      <c r="R97" s="125">
        <f t="shared" si="49"/>
        <v>47.999931407664548</v>
      </c>
      <c r="S97" s="126">
        <f t="shared" si="54"/>
        <v>7.1851597146597532</v>
      </c>
      <c r="T97" s="126"/>
      <c r="U97" s="126">
        <f t="shared" si="55"/>
        <v>194.84605152806901</v>
      </c>
      <c r="V97" s="68">
        <v>0.24</v>
      </c>
      <c r="W97" s="114">
        <f t="shared" si="56"/>
        <v>1.7244383315183407</v>
      </c>
      <c r="X97" s="126">
        <f t="shared" si="50"/>
        <v>26.724438331518339</v>
      </c>
      <c r="Y97" s="63"/>
    </row>
    <row r="98" spans="1:25" ht="16.5" hidden="1">
      <c r="A98" s="63"/>
      <c r="B98" s="108"/>
      <c r="C98" s="108"/>
      <c r="D98" s="63"/>
      <c r="E98" s="63"/>
      <c r="H98" s="114">
        <f t="shared" si="44"/>
        <v>42.026053905447</v>
      </c>
      <c r="I98" s="63"/>
      <c r="J98" s="63" t="str">
        <f t="shared" si="45"/>
        <v>CLU048-1818C4</v>
      </c>
      <c r="K98" s="121">
        <f>HLOOKUP(Simulator!$C$6,Calculation!L$68:AF$83,14,FALSE)</f>
        <v>13616.441465364827</v>
      </c>
      <c r="L98" s="85">
        <f t="shared" si="46"/>
        <v>0.1028168779324435</v>
      </c>
      <c r="M98" s="114">
        <f t="shared" si="51"/>
        <v>8.541195016498861</v>
      </c>
      <c r="N98" s="122">
        <f t="shared" si="47"/>
        <v>153.7415102969795</v>
      </c>
      <c r="O98" s="123">
        <f t="shared" si="48"/>
        <v>47.728716132680198</v>
      </c>
      <c r="P98" s="124">
        <f t="shared" si="52"/>
        <v>43.910418842065781</v>
      </c>
      <c r="Q98" s="124">
        <f t="shared" si="53"/>
        <v>51.547013423294615</v>
      </c>
      <c r="R98" s="125">
        <f t="shared" si="49"/>
        <v>47.728716131695144</v>
      </c>
      <c r="S98" s="126">
        <f t="shared" si="54"/>
        <v>7.3378849026226209</v>
      </c>
      <c r="T98" s="126"/>
      <c r="U98" s="126">
        <f t="shared" si="55"/>
        <v>190.79067314065233</v>
      </c>
      <c r="V98" s="68">
        <v>0.16</v>
      </c>
      <c r="W98" s="114">
        <f t="shared" si="56"/>
        <v>1.1740615844196194</v>
      </c>
      <c r="X98" s="126">
        <f t="shared" si="50"/>
        <v>26.174061584419618</v>
      </c>
      <c r="Y98" s="63"/>
    </row>
    <row r="99" spans="1:25" ht="16.5" hidden="1">
      <c r="A99" s="63"/>
      <c r="B99" s="114"/>
      <c r="C99" s="134"/>
      <c r="D99" s="63"/>
      <c r="E99" s="135"/>
      <c r="H99" s="114">
        <f t="shared" si="44"/>
        <v>44.131393415118986</v>
      </c>
      <c r="I99" s="63"/>
      <c r="J99" s="63" t="str">
        <f t="shared" si="45"/>
        <v>CLU058-1825C4</v>
      </c>
      <c r="K99" s="121">
        <f>HLOOKUP(Simulator!$C$6,Calculation!L$68:AF$83,15,FALSE)</f>
        <v>19859.127036803544</v>
      </c>
      <c r="L99" s="85">
        <f t="shared" si="46"/>
        <v>7.0496552916155614E-2</v>
      </c>
      <c r="M99" s="114">
        <f t="shared" si="51"/>
        <v>5.8737647700662947</v>
      </c>
      <c r="N99" s="122">
        <f t="shared" si="47"/>
        <v>146.84411925165736</v>
      </c>
      <c r="O99" s="123">
        <f t="shared" si="48"/>
        <v>47.496615169692177</v>
      </c>
      <c r="P99" s="124">
        <f t="shared" si="52"/>
        <v>43.696885956116802</v>
      </c>
      <c r="Q99" s="124">
        <f t="shared" si="53"/>
        <v>51.296344383267552</v>
      </c>
      <c r="R99" s="125">
        <f t="shared" si="49"/>
        <v>47.496615168711912</v>
      </c>
      <c r="S99" s="126">
        <f t="shared" si="54"/>
        <v>6.97459862188441</v>
      </c>
      <c r="T99" s="126"/>
      <c r="U99" s="126">
        <f t="shared" si="55"/>
        <v>200.72839684382373</v>
      </c>
      <c r="V99" s="68">
        <v>0.13</v>
      </c>
      <c r="W99" s="114">
        <f>S99*V99</f>
        <v>0.9066978208449733</v>
      </c>
      <c r="X99" s="126">
        <f t="shared" si="50"/>
        <v>25.906697820844972</v>
      </c>
      <c r="Y99" s="63"/>
    </row>
    <row r="100" spans="1:25" ht="16.5" hidden="1">
      <c r="A100" s="63"/>
      <c r="B100" s="109"/>
      <c r="C100" s="117"/>
      <c r="D100" s="63"/>
      <c r="E100" s="63"/>
      <c r="F100" s="63"/>
      <c r="G100" s="63"/>
      <c r="H100" s="114">
        <f t="shared" si="44"/>
        <v>42.245012941031625</v>
      </c>
      <c r="I100" s="63"/>
      <c r="J100" s="63" t="str">
        <f t="shared" si="45"/>
        <v>CLU058-3618C4</v>
      </c>
      <c r="K100" s="121">
        <f>HLOOKUP(Simulator!$C$6,Calculation!L$68:AF$83,16,FALSE)</f>
        <v>27374.768385788495</v>
      </c>
      <c r="L100" s="85">
        <f t="shared" si="46"/>
        <v>5.1141985213854164E-2</v>
      </c>
      <c r="M100" s="114">
        <f t="shared" si="51"/>
        <v>4.2850980936227065</v>
      </c>
      <c r="N100" s="122">
        <f t="shared" si="47"/>
        <v>77.13176568520872</v>
      </c>
      <c r="O100" s="123">
        <f t="shared" si="48"/>
        <v>94.636257548649738</v>
      </c>
      <c r="P100" s="124">
        <f t="shared" si="52"/>
        <v>87.065356944757767</v>
      </c>
      <c r="Q100" s="124">
        <f t="shared" si="53"/>
        <v>102.20715815254172</v>
      </c>
      <c r="R100" s="125">
        <f t="shared" si="49"/>
        <v>94.636257546696584</v>
      </c>
      <c r="S100" s="126">
        <f t="shared" ref="S100" si="61">N100*R100/1000</f>
        <v>7.2994616424168663</v>
      </c>
      <c r="T100" s="126"/>
      <c r="U100" s="126">
        <f t="shared" si="55"/>
        <v>191.79496633897745</v>
      </c>
      <c r="V100" s="68">
        <v>9.5000000000000001E-2</v>
      </c>
      <c r="W100" s="114">
        <f>S100*V100</f>
        <v>0.69344885602960227</v>
      </c>
      <c r="X100" s="126">
        <f t="shared" si="50"/>
        <v>25.693448856029601</v>
      </c>
    </row>
    <row r="101" spans="1:25" ht="16.5" hidden="1">
      <c r="A101" s="63"/>
      <c r="B101" s="109"/>
      <c r="C101" s="117"/>
      <c r="D101" s="116"/>
      <c r="E101" s="136"/>
      <c r="F101" s="63"/>
      <c r="G101" s="63"/>
      <c r="H101" s="63"/>
      <c r="I101" s="63"/>
      <c r="J101" s="63"/>
      <c r="K101" s="63"/>
      <c r="L101" s="63"/>
      <c r="M101" s="63"/>
      <c r="N101" s="63"/>
      <c r="O101" s="123"/>
      <c r="P101" s="118"/>
      <c r="Q101" s="71"/>
      <c r="R101" s="71"/>
      <c r="S101" s="71"/>
      <c r="T101" s="71"/>
      <c r="U101" s="63"/>
      <c r="V101" s="63"/>
      <c r="W101" s="63"/>
    </row>
    <row r="102" spans="1:25" ht="16.5" hidden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123"/>
      <c r="P102" s="118" t="s">
        <v>66</v>
      </c>
      <c r="Q102" s="118" t="s">
        <v>5</v>
      </c>
      <c r="R102" s="118"/>
      <c r="S102" s="118"/>
      <c r="T102" s="118"/>
      <c r="U102" s="63"/>
      <c r="V102" s="63"/>
      <c r="W102" s="63"/>
    </row>
    <row r="103" spans="1:25" ht="16.5" hidden="1">
      <c r="A103" s="63"/>
      <c r="C103" s="137"/>
      <c r="D103" s="137"/>
      <c r="E103" s="137"/>
      <c r="F103" s="137"/>
      <c r="G103" s="63"/>
      <c r="H103" s="63"/>
      <c r="I103" s="63"/>
      <c r="J103" s="63"/>
      <c r="K103" s="114"/>
      <c r="L103" s="114"/>
      <c r="M103" s="114"/>
      <c r="N103" s="63"/>
      <c r="O103" s="123"/>
      <c r="P103" s="71"/>
      <c r="Q103" s="138">
        <f>C52</f>
        <v>5</v>
      </c>
      <c r="R103" s="138"/>
      <c r="S103" s="71"/>
      <c r="T103" s="71"/>
      <c r="U103" s="63"/>
      <c r="V103" s="63"/>
      <c r="W103" s="63"/>
    </row>
    <row r="104" spans="1:25" ht="16.5" hidden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114"/>
      <c r="L104" s="114"/>
      <c r="M104" s="114"/>
      <c r="N104" s="63"/>
      <c r="O104" s="123"/>
      <c r="P104" s="71"/>
      <c r="Q104" s="71"/>
      <c r="R104" s="71"/>
      <c r="S104" s="71"/>
      <c r="T104" s="71"/>
      <c r="U104" s="63"/>
      <c r="V104" s="63"/>
      <c r="W104" s="63"/>
    </row>
    <row r="105" spans="1:25" ht="16.5" hidden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114"/>
      <c r="L105" s="114"/>
      <c r="M105" s="114"/>
      <c r="N105" s="63"/>
      <c r="O105" s="123"/>
      <c r="P105" s="118" t="s">
        <v>67</v>
      </c>
      <c r="Q105" s="118" t="s">
        <v>4</v>
      </c>
      <c r="R105" s="118"/>
      <c r="S105" s="118" t="s">
        <v>5</v>
      </c>
      <c r="T105" s="71"/>
      <c r="U105" s="63"/>
      <c r="V105" s="63"/>
      <c r="W105" s="63"/>
    </row>
    <row r="106" spans="1:25" ht="16.5" hidden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114"/>
      <c r="L106" s="114"/>
      <c r="M106" s="114"/>
      <c r="N106" s="63"/>
      <c r="O106" s="123"/>
      <c r="P106" s="71"/>
      <c r="Q106" s="71">
        <f>$C$54</f>
        <v>120</v>
      </c>
      <c r="R106" s="71"/>
      <c r="S106" s="71">
        <f>$D$54</f>
        <v>-40</v>
      </c>
      <c r="T106" s="71"/>
      <c r="U106" s="63"/>
      <c r="V106" s="63"/>
      <c r="W106" s="63"/>
    </row>
    <row r="107" spans="1:25" ht="16.5" hidden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114"/>
      <c r="L107" s="114"/>
      <c r="M107" s="114"/>
      <c r="N107" s="63"/>
      <c r="O107" s="123"/>
      <c r="T107" s="71"/>
      <c r="U107" s="63"/>
      <c r="V107" s="63"/>
      <c r="W107" s="63"/>
    </row>
    <row r="108" spans="1:25" ht="16.5" hidden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114"/>
      <c r="L108" s="114"/>
      <c r="M108" s="114"/>
      <c r="N108" s="63"/>
      <c r="O108" s="123"/>
      <c r="P108" s="118" t="s">
        <v>7</v>
      </c>
      <c r="Q108" s="118" t="s">
        <v>4</v>
      </c>
      <c r="R108" s="118"/>
      <c r="S108" s="118" t="s">
        <v>5</v>
      </c>
      <c r="T108" s="71"/>
      <c r="U108" s="63"/>
      <c r="V108" s="63"/>
      <c r="W108" s="63"/>
    </row>
    <row r="109" spans="1:25" ht="16.5" hidden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123"/>
      <c r="P109" s="71"/>
      <c r="Q109" s="71">
        <f>$C$56</f>
        <v>150</v>
      </c>
      <c r="R109" s="71"/>
      <c r="S109" s="71">
        <f>$D$56</f>
        <v>-25</v>
      </c>
      <c r="T109" s="71"/>
      <c r="U109" s="63"/>
      <c r="V109" s="63"/>
      <c r="W109" s="63"/>
    </row>
    <row r="110" spans="1:25" ht="16.5" hidden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114"/>
      <c r="M110" s="85"/>
      <c r="N110" s="63"/>
      <c r="O110" s="123"/>
      <c r="P110" s="71"/>
      <c r="Q110" s="71"/>
      <c r="R110" s="71"/>
      <c r="S110" s="71"/>
      <c r="T110" s="71"/>
      <c r="U110" s="63"/>
      <c r="V110" s="63"/>
      <c r="W110" s="63"/>
    </row>
    <row r="111" spans="1:25" ht="16.5" hidden="1">
      <c r="A111" s="63"/>
      <c r="B111" s="63"/>
      <c r="C111" s="63"/>
      <c r="D111" s="63"/>
      <c r="E111" s="63"/>
      <c r="F111" s="63"/>
      <c r="G111" s="63"/>
      <c r="H111" s="63"/>
      <c r="I111" s="63" t="s">
        <v>172</v>
      </c>
      <c r="J111" s="63"/>
      <c r="K111" s="63"/>
      <c r="L111" s="114"/>
      <c r="M111" s="85"/>
      <c r="N111" s="63"/>
      <c r="O111" s="123"/>
      <c r="P111" s="71"/>
      <c r="Q111" s="118" t="s">
        <v>67</v>
      </c>
      <c r="R111" s="118" t="s">
        <v>6</v>
      </c>
      <c r="S111" s="118"/>
      <c r="T111" s="118"/>
      <c r="U111" s="118"/>
      <c r="V111" s="118" t="s">
        <v>7</v>
      </c>
      <c r="W111" s="118" t="s">
        <v>59</v>
      </c>
    </row>
    <row r="112" spans="1:25" ht="16.5" hidden="1">
      <c r="A112" s="63"/>
      <c r="B112" s="63"/>
      <c r="C112" s="63"/>
      <c r="D112" s="63"/>
      <c r="E112" s="63"/>
      <c r="F112" s="63"/>
      <c r="G112" s="63"/>
      <c r="H112" s="63"/>
      <c r="I112" s="63" t="s">
        <v>173</v>
      </c>
      <c r="J112" s="63" t="s">
        <v>174</v>
      </c>
      <c r="K112" s="63" t="s">
        <v>68</v>
      </c>
      <c r="M112" s="85"/>
      <c r="N112" s="114" t="s">
        <v>69</v>
      </c>
      <c r="O112" s="123"/>
      <c r="P112" s="71"/>
      <c r="Q112" s="118" t="s">
        <v>3</v>
      </c>
      <c r="R112" s="118" t="s">
        <v>39</v>
      </c>
      <c r="S112" s="118"/>
      <c r="T112" s="118" t="s">
        <v>40</v>
      </c>
      <c r="U112" s="118" t="s">
        <v>60</v>
      </c>
      <c r="V112" s="118" t="s">
        <v>3</v>
      </c>
      <c r="W112" s="118" t="s">
        <v>61</v>
      </c>
    </row>
    <row r="113" spans="1:32" ht="16.5" hidden="1">
      <c r="A113" s="63"/>
      <c r="B113" s="63"/>
      <c r="C113" s="63"/>
      <c r="D113" s="63"/>
      <c r="E113" s="63"/>
      <c r="F113" s="63"/>
      <c r="G113" s="63"/>
      <c r="H113" s="63"/>
      <c r="I113" s="107">
        <v>-30.03775035361236</v>
      </c>
      <c r="J113" s="107">
        <v>5406.7950636502255</v>
      </c>
      <c r="K113" s="63"/>
      <c r="L113" s="114">
        <f t="shared" ref="L113:L126" si="62">$D$52*I70</f>
        <v>230</v>
      </c>
      <c r="M113" s="139">
        <f>(I113*$E$78)+J113</f>
        <v>4655.8513048099167</v>
      </c>
      <c r="N113" s="140">
        <f t="shared" ref="N113" si="63">IF(L113&gt;=M113,M113,L113)</f>
        <v>230</v>
      </c>
      <c r="O113" s="123"/>
      <c r="P113" s="63" t="str">
        <f t="shared" ref="P113:P126" si="64">J87</f>
        <v>CLU028-1201C4</v>
      </c>
      <c r="Q113" s="71" t="b">
        <f t="shared" ref="Q113:Q126" si="65">AND(S$106&lt;=$E$78,Q$106&gt;=$E$78)</f>
        <v>1</v>
      </c>
      <c r="R113" s="114">
        <f t="shared" ref="R113:R126" si="66">Q$103*I70</f>
        <v>5</v>
      </c>
      <c r="S113" s="114"/>
      <c r="T113" s="114">
        <f>N113</f>
        <v>230</v>
      </c>
      <c r="U113" s="71" t="b">
        <f t="shared" ref="U113:U126" si="67">IFERROR(AND(Q113,R113&lt;=N87,T113&gt;=N87),FALSE)</f>
        <v>0</v>
      </c>
      <c r="V113" s="71" t="b">
        <f t="shared" ref="V113:V126" si="68">AND(Q113,S$109&lt;X87,Q$109&gt;X87)</f>
        <v>1</v>
      </c>
      <c r="W113" s="71" t="b">
        <f>AND(U113,Q113,V113)</f>
        <v>0</v>
      </c>
    </row>
    <row r="114" spans="1:32" ht="16.5" hidden="1">
      <c r="A114" s="63"/>
      <c r="B114" s="63"/>
      <c r="C114" s="63"/>
      <c r="D114" s="63"/>
      <c r="E114" s="63"/>
      <c r="F114" s="63"/>
      <c r="G114" s="63"/>
      <c r="H114" s="63"/>
      <c r="I114" s="107">
        <v>-17.550462000856427</v>
      </c>
      <c r="J114" s="107">
        <v>3159.0831601541568</v>
      </c>
      <c r="K114" s="63"/>
      <c r="L114" s="114">
        <f t="shared" si="62"/>
        <v>460</v>
      </c>
      <c r="M114" s="139">
        <f t="shared" ref="M114:M126" si="69">(I114*$E$78)+J114</f>
        <v>2720.3216101327462</v>
      </c>
      <c r="N114" s="140">
        <f t="shared" ref="N114:N126" si="70">IF(L114&gt;=M114,M114,L114)</f>
        <v>460</v>
      </c>
      <c r="O114" s="123"/>
      <c r="P114" s="63" t="str">
        <f t="shared" si="64"/>
        <v>CLU028-1202C4</v>
      </c>
      <c r="Q114" s="71" t="b">
        <f t="shared" si="65"/>
        <v>1</v>
      </c>
      <c r="R114" s="114">
        <f t="shared" si="66"/>
        <v>10</v>
      </c>
      <c r="S114" s="114"/>
      <c r="T114" s="114">
        <f>N114</f>
        <v>460</v>
      </c>
      <c r="U114" s="71" t="b">
        <f t="shared" si="67"/>
        <v>1</v>
      </c>
      <c r="V114" s="71" t="b">
        <f t="shared" si="68"/>
        <v>1</v>
      </c>
      <c r="W114" s="71" t="b">
        <f>AND(U114,Q114,V114)</f>
        <v>1</v>
      </c>
    </row>
    <row r="115" spans="1:32" ht="16.5" hidden="1">
      <c r="A115" s="63"/>
      <c r="B115" s="63"/>
      <c r="C115" s="63"/>
      <c r="D115" s="63"/>
      <c r="E115" s="63"/>
      <c r="F115" s="63"/>
      <c r="G115" s="63"/>
      <c r="H115" s="63"/>
      <c r="I115" s="107">
        <v>-46.737704854487646</v>
      </c>
      <c r="J115" s="107">
        <v>7010.6557281731466</v>
      </c>
      <c r="K115" s="63"/>
      <c r="L115" s="114">
        <f t="shared" si="62"/>
        <v>690</v>
      </c>
      <c r="M115" s="139">
        <f t="shared" si="69"/>
        <v>5842.2131068109557</v>
      </c>
      <c r="N115" s="140">
        <f t="shared" si="70"/>
        <v>690</v>
      </c>
      <c r="O115" s="63"/>
      <c r="P115" s="63" t="str">
        <f t="shared" si="64"/>
        <v>CLU028-1203C4</v>
      </c>
      <c r="Q115" s="71" t="b">
        <f t="shared" si="65"/>
        <v>1</v>
      </c>
      <c r="R115" s="114">
        <f t="shared" si="66"/>
        <v>15</v>
      </c>
      <c r="S115" s="114"/>
      <c r="T115" s="114">
        <f t="shared" ref="T115:T125" si="71">N115</f>
        <v>690</v>
      </c>
      <c r="U115" s="71" t="b">
        <f t="shared" si="67"/>
        <v>1</v>
      </c>
      <c r="V115" s="71" t="b">
        <f t="shared" si="68"/>
        <v>1</v>
      </c>
      <c r="W115" s="71" t="b">
        <f t="shared" ref="W115:W125" si="72">AND(U115,Q115,V115)</f>
        <v>1</v>
      </c>
    </row>
    <row r="116" spans="1:32" ht="16.5" hidden="1">
      <c r="A116" s="63"/>
      <c r="B116" s="63"/>
      <c r="C116" s="63"/>
      <c r="D116" s="63"/>
      <c r="E116" s="63"/>
      <c r="F116" s="63"/>
      <c r="G116" s="63"/>
      <c r="H116" s="63"/>
      <c r="I116" s="107">
        <v>-27.614072896737408</v>
      </c>
      <c r="J116" s="107">
        <v>4142.1109345106106</v>
      </c>
      <c r="K116" s="63"/>
      <c r="L116" s="114">
        <f t="shared" si="62"/>
        <v>920</v>
      </c>
      <c r="M116" s="139">
        <f t="shared" si="69"/>
        <v>3451.7591120921752</v>
      </c>
      <c r="N116" s="140">
        <f t="shared" si="70"/>
        <v>920</v>
      </c>
      <c r="O116" s="63"/>
      <c r="P116" s="63" t="str">
        <f t="shared" si="64"/>
        <v>CLU028-1204C4</v>
      </c>
      <c r="Q116" s="71" t="b">
        <f t="shared" si="65"/>
        <v>1</v>
      </c>
      <c r="R116" s="114">
        <f t="shared" si="66"/>
        <v>20</v>
      </c>
      <c r="S116" s="114"/>
      <c r="T116" s="114">
        <f t="shared" si="71"/>
        <v>920</v>
      </c>
      <c r="U116" s="71" t="b">
        <f t="shared" si="67"/>
        <v>1</v>
      </c>
      <c r="V116" s="71" t="b">
        <f t="shared" si="68"/>
        <v>1</v>
      </c>
      <c r="W116" s="71" t="b">
        <f t="shared" si="72"/>
        <v>1</v>
      </c>
    </row>
    <row r="117" spans="1:32" ht="16.5" hidden="1">
      <c r="A117" s="63"/>
      <c r="B117" s="63"/>
      <c r="C117" s="63"/>
      <c r="D117" s="63"/>
      <c r="E117" s="63"/>
      <c r="F117" s="63"/>
      <c r="G117" s="63"/>
      <c r="H117" s="63"/>
      <c r="I117" s="107">
        <v>-193.72065519533146</v>
      </c>
      <c r="J117" s="107">
        <v>29058.09827929972</v>
      </c>
      <c r="K117" s="63"/>
      <c r="L117" s="114">
        <f t="shared" si="62"/>
        <v>1150</v>
      </c>
      <c r="M117" s="139">
        <f t="shared" si="69"/>
        <v>24215.081899416433</v>
      </c>
      <c r="N117" s="140">
        <f>IF(L117&gt;=M117,M117,L117)</f>
        <v>1150</v>
      </c>
      <c r="O117" s="63"/>
      <c r="P117" s="63" t="str">
        <f t="shared" si="64"/>
        <v>CLU038-1205C4</v>
      </c>
      <c r="Q117" s="71" t="b">
        <f t="shared" si="65"/>
        <v>1</v>
      </c>
      <c r="R117" s="114">
        <f t="shared" si="66"/>
        <v>25</v>
      </c>
      <c r="S117" s="114"/>
      <c r="T117" s="114">
        <f t="shared" si="71"/>
        <v>1150</v>
      </c>
      <c r="U117" s="71" t="b">
        <f t="shared" si="67"/>
        <v>1</v>
      </c>
      <c r="V117" s="71" t="b">
        <f t="shared" si="68"/>
        <v>1</v>
      </c>
      <c r="W117" s="71" t="b">
        <f t="shared" si="72"/>
        <v>1</v>
      </c>
    </row>
    <row r="118" spans="1:32" ht="16.5" hidden="1">
      <c r="A118" s="63"/>
      <c r="B118" s="63"/>
      <c r="C118" s="63"/>
      <c r="D118" s="63"/>
      <c r="E118" s="63"/>
      <c r="F118" s="63"/>
      <c r="G118" s="63"/>
      <c r="H118" s="63"/>
      <c r="I118" s="107">
        <v>-90.179137549841528</v>
      </c>
      <c r="J118" s="107">
        <v>13526.87063247623</v>
      </c>
      <c r="K118" s="63"/>
      <c r="L118" s="114">
        <f t="shared" si="62"/>
        <v>1380</v>
      </c>
      <c r="M118" s="139">
        <f t="shared" si="69"/>
        <v>11272.392193730191</v>
      </c>
      <c r="N118" s="140">
        <f t="shared" si="70"/>
        <v>1380</v>
      </c>
      <c r="O118" s="63"/>
      <c r="P118" s="63" t="str">
        <f t="shared" si="64"/>
        <v>CLU038-1206C4</v>
      </c>
      <c r="Q118" s="71" t="b">
        <f t="shared" si="65"/>
        <v>1</v>
      </c>
      <c r="R118" s="114">
        <f t="shared" si="66"/>
        <v>30</v>
      </c>
      <c r="S118" s="114"/>
      <c r="T118" s="114">
        <f t="shared" si="71"/>
        <v>1380</v>
      </c>
      <c r="U118" s="71" t="b">
        <f t="shared" si="67"/>
        <v>1</v>
      </c>
      <c r="V118" s="71" t="b">
        <f t="shared" si="68"/>
        <v>1</v>
      </c>
      <c r="W118" s="71" t="b">
        <f t="shared" si="72"/>
        <v>1</v>
      </c>
    </row>
    <row r="119" spans="1:32" ht="16.5" hidden="1">
      <c r="A119" s="63"/>
      <c r="B119" s="63"/>
      <c r="C119" s="63"/>
      <c r="D119" s="63"/>
      <c r="E119" s="63"/>
      <c r="F119" s="63"/>
      <c r="G119" s="63"/>
      <c r="H119" s="63"/>
      <c r="I119" s="107">
        <v>-54.060634188160158</v>
      </c>
      <c r="J119" s="107">
        <v>8109.0951282240239</v>
      </c>
      <c r="K119" s="63"/>
      <c r="L119" s="114">
        <f t="shared" si="62"/>
        <v>1840</v>
      </c>
      <c r="M119" s="139">
        <f t="shared" si="69"/>
        <v>6757.5792735200203</v>
      </c>
      <c r="N119" s="140">
        <f t="shared" si="70"/>
        <v>1840</v>
      </c>
      <c r="O119" s="63"/>
      <c r="P119" s="63" t="str">
        <f t="shared" si="64"/>
        <v>CLU038-1208C4</v>
      </c>
      <c r="Q119" s="71" t="b">
        <f t="shared" si="65"/>
        <v>1</v>
      </c>
      <c r="R119" s="114">
        <f t="shared" si="66"/>
        <v>40</v>
      </c>
      <c r="S119" s="114"/>
      <c r="T119" s="114">
        <f t="shared" si="71"/>
        <v>1840</v>
      </c>
      <c r="U119" s="71" t="b">
        <f t="shared" si="67"/>
        <v>1</v>
      </c>
      <c r="V119" s="71" t="b">
        <f t="shared" si="68"/>
        <v>1</v>
      </c>
      <c r="W119" s="71" t="b">
        <f t="shared" si="72"/>
        <v>1</v>
      </c>
    </row>
    <row r="120" spans="1:32" ht="16.5" hidden="1">
      <c r="A120" s="63"/>
      <c r="B120" s="63"/>
      <c r="C120" s="63"/>
      <c r="D120" s="63"/>
      <c r="E120" s="63"/>
      <c r="F120" s="63"/>
      <c r="G120" s="63"/>
      <c r="H120" s="63"/>
      <c r="I120" s="107">
        <v>-43.586329232419757</v>
      </c>
      <c r="J120" s="107">
        <v>6537.9493848629636</v>
      </c>
      <c r="K120" s="63"/>
      <c r="L120" s="114">
        <f t="shared" si="62"/>
        <v>2300</v>
      </c>
      <c r="M120" s="139">
        <f t="shared" si="69"/>
        <v>5448.2911540524692</v>
      </c>
      <c r="N120" s="140">
        <f t="shared" si="70"/>
        <v>2300</v>
      </c>
      <c r="O120" s="63"/>
      <c r="P120" s="63" t="str">
        <f t="shared" si="64"/>
        <v>CLU038-1210C4</v>
      </c>
      <c r="Q120" s="71" t="b">
        <f t="shared" si="65"/>
        <v>1</v>
      </c>
      <c r="R120" s="114">
        <f t="shared" si="66"/>
        <v>50</v>
      </c>
      <c r="S120" s="114"/>
      <c r="T120" s="114">
        <f t="shared" si="71"/>
        <v>2300</v>
      </c>
      <c r="U120" s="71" t="b">
        <f t="shared" si="67"/>
        <v>1</v>
      </c>
      <c r="V120" s="71" t="b">
        <f t="shared" si="68"/>
        <v>1</v>
      </c>
      <c r="W120" s="71" t="b">
        <f t="shared" si="72"/>
        <v>1</v>
      </c>
    </row>
    <row r="121" spans="1:32" ht="16.5" hidden="1">
      <c r="A121" s="63"/>
      <c r="B121" s="63"/>
      <c r="C121" s="63"/>
      <c r="D121" s="63"/>
      <c r="E121" s="63"/>
      <c r="F121" s="63"/>
      <c r="G121" s="63"/>
      <c r="H121" s="63"/>
      <c r="I121" s="107">
        <v>-386.51429966283223</v>
      </c>
      <c r="J121" s="107">
        <v>57977.14494942483</v>
      </c>
      <c r="K121" s="63"/>
      <c r="L121" s="114">
        <f t="shared" si="62"/>
        <v>2530</v>
      </c>
      <c r="M121" s="139">
        <f t="shared" si="69"/>
        <v>48314.287457854021</v>
      </c>
      <c r="N121" s="140">
        <f t="shared" ref="N121" si="73">IF(L121&gt;=M121,M121,L121)</f>
        <v>2530</v>
      </c>
      <c r="O121" s="63"/>
      <c r="P121" s="63" t="str">
        <f>J95</f>
        <v>CLU048-1211C4</v>
      </c>
      <c r="Q121" s="71" t="b">
        <f t="shared" si="65"/>
        <v>1</v>
      </c>
      <c r="R121" s="114">
        <f t="shared" si="66"/>
        <v>55</v>
      </c>
      <c r="S121" s="114"/>
      <c r="T121" s="114">
        <f t="shared" ref="T121" si="74">N121</f>
        <v>2530</v>
      </c>
      <c r="U121" s="71" t="b">
        <f t="shared" si="67"/>
        <v>1</v>
      </c>
      <c r="V121" s="71" t="b">
        <f t="shared" si="68"/>
        <v>1</v>
      </c>
      <c r="W121" s="71" t="b">
        <f t="shared" ref="W121" si="75">AND(U121,Q121,V121)</f>
        <v>1</v>
      </c>
    </row>
    <row r="122" spans="1:32" ht="16.5" hidden="1">
      <c r="A122" s="63"/>
      <c r="B122" s="63"/>
      <c r="C122" s="63"/>
      <c r="D122" s="63"/>
      <c r="E122" s="63"/>
      <c r="F122" s="63"/>
      <c r="G122" s="63"/>
      <c r="H122" s="63"/>
      <c r="I122" s="107">
        <v>-254.17712226511122</v>
      </c>
      <c r="J122" s="107">
        <v>38126.56833976668</v>
      </c>
      <c r="K122" s="63"/>
      <c r="L122" s="114">
        <f t="shared" si="62"/>
        <v>2760</v>
      </c>
      <c r="M122" s="139">
        <f t="shared" si="69"/>
        <v>31772.140283138899</v>
      </c>
      <c r="N122" s="140">
        <f t="shared" si="70"/>
        <v>2760</v>
      </c>
      <c r="O122" s="63"/>
      <c r="P122" s="63" t="str">
        <f t="shared" si="64"/>
        <v>CLU048-1212C4</v>
      </c>
      <c r="Q122" s="71" t="b">
        <f t="shared" si="65"/>
        <v>1</v>
      </c>
      <c r="R122" s="114">
        <f t="shared" si="66"/>
        <v>60</v>
      </c>
      <c r="S122" s="114"/>
      <c r="T122" s="114">
        <f t="shared" si="71"/>
        <v>2760</v>
      </c>
      <c r="U122" s="71" t="b">
        <f t="shared" si="67"/>
        <v>1</v>
      </c>
      <c r="V122" s="71" t="b">
        <f t="shared" si="68"/>
        <v>1</v>
      </c>
      <c r="W122" s="71" t="b">
        <f t="shared" si="72"/>
        <v>1</v>
      </c>
    </row>
    <row r="123" spans="1:32" ht="16.5" hidden="1">
      <c r="A123" s="63"/>
      <c r="B123" s="63"/>
      <c r="C123" s="63"/>
      <c r="D123" s="63"/>
      <c r="E123" s="63"/>
      <c r="F123" s="63"/>
      <c r="G123" s="63"/>
      <c r="H123" s="63"/>
      <c r="I123" s="107">
        <v>-75.130884537151715</v>
      </c>
      <c r="J123" s="107">
        <v>11269.632680572757</v>
      </c>
      <c r="K123" s="63"/>
      <c r="L123" s="114">
        <f t="shared" si="62"/>
        <v>2760</v>
      </c>
      <c r="M123" s="139">
        <f t="shared" si="69"/>
        <v>9391.3605671439636</v>
      </c>
      <c r="N123" s="140">
        <f t="shared" si="70"/>
        <v>2760</v>
      </c>
      <c r="O123" s="63"/>
      <c r="P123" s="63" t="str">
        <f t="shared" si="64"/>
        <v>CLU048-1812C4</v>
      </c>
      <c r="Q123" s="71" t="b">
        <f t="shared" si="65"/>
        <v>1</v>
      </c>
      <c r="R123" s="114">
        <f t="shared" si="66"/>
        <v>60</v>
      </c>
      <c r="S123" s="114"/>
      <c r="T123" s="114">
        <f t="shared" si="71"/>
        <v>2760</v>
      </c>
      <c r="U123" s="71" t="b">
        <f t="shared" si="67"/>
        <v>1</v>
      </c>
      <c r="V123" s="71" t="b">
        <f t="shared" si="68"/>
        <v>1</v>
      </c>
      <c r="W123" s="71" t="b">
        <f t="shared" si="72"/>
        <v>1</v>
      </c>
    </row>
    <row r="124" spans="1:32" ht="16.5" hidden="1">
      <c r="A124" s="63"/>
      <c r="B124" s="63"/>
      <c r="C124" s="63"/>
      <c r="D124" s="63"/>
      <c r="E124" s="63"/>
      <c r="F124" s="63"/>
      <c r="G124" s="63"/>
      <c r="H124" s="63"/>
      <c r="I124" s="107">
        <v>-54.796788110286826</v>
      </c>
      <c r="J124" s="107">
        <v>8219.5182165430233</v>
      </c>
      <c r="K124" s="63"/>
      <c r="L124" s="114">
        <f t="shared" si="62"/>
        <v>4140</v>
      </c>
      <c r="M124" s="139">
        <f t="shared" si="69"/>
        <v>6849.5985137858524</v>
      </c>
      <c r="N124" s="140">
        <f t="shared" si="70"/>
        <v>4140</v>
      </c>
      <c r="O124" s="63"/>
      <c r="P124" s="63" t="str">
        <f t="shared" si="64"/>
        <v>CLU048-1818C4</v>
      </c>
      <c r="Q124" s="71" t="b">
        <f t="shared" si="65"/>
        <v>1</v>
      </c>
      <c r="R124" s="114">
        <f t="shared" si="66"/>
        <v>90</v>
      </c>
      <c r="S124" s="114"/>
      <c r="T124" s="114">
        <f t="shared" si="71"/>
        <v>4140</v>
      </c>
      <c r="U124" s="71" t="b">
        <f t="shared" si="67"/>
        <v>1</v>
      </c>
      <c r="V124" s="71" t="b">
        <f t="shared" si="68"/>
        <v>1</v>
      </c>
      <c r="W124" s="71" t="b">
        <f t="shared" si="72"/>
        <v>1</v>
      </c>
    </row>
    <row r="125" spans="1:32" ht="16.5" hidden="1">
      <c r="A125" s="63"/>
      <c r="B125" s="63"/>
      <c r="C125" s="63"/>
      <c r="D125" s="63"/>
      <c r="E125" s="63"/>
      <c r="F125" s="63"/>
      <c r="G125" s="63"/>
      <c r="H125" s="63"/>
      <c r="I125" s="107">
        <v>-122.56264934585489</v>
      </c>
      <c r="J125" s="107">
        <v>18384.397401878232</v>
      </c>
      <c r="K125" s="63"/>
      <c r="L125" s="114">
        <f t="shared" si="62"/>
        <v>5750</v>
      </c>
      <c r="M125" s="139">
        <f t="shared" si="69"/>
        <v>15320.33116823186</v>
      </c>
      <c r="N125" s="140">
        <f t="shared" si="70"/>
        <v>5750</v>
      </c>
      <c r="O125" s="63"/>
      <c r="P125" s="63" t="str">
        <f t="shared" si="64"/>
        <v>CLU058-1825C4</v>
      </c>
      <c r="Q125" s="71" t="b">
        <f t="shared" si="65"/>
        <v>1</v>
      </c>
      <c r="R125" s="114">
        <f t="shared" si="66"/>
        <v>125</v>
      </c>
      <c r="S125" s="114"/>
      <c r="T125" s="114">
        <f t="shared" si="71"/>
        <v>5750</v>
      </c>
      <c r="U125" s="71" t="b">
        <f t="shared" si="67"/>
        <v>1</v>
      </c>
      <c r="V125" s="71" t="b">
        <f t="shared" si="68"/>
        <v>1</v>
      </c>
      <c r="W125" s="71" t="b">
        <f t="shared" si="72"/>
        <v>1</v>
      </c>
    </row>
    <row r="126" spans="1:32" ht="16.5" hidden="1">
      <c r="A126" s="63"/>
      <c r="B126" s="63"/>
      <c r="C126" s="63"/>
      <c r="D126" s="63"/>
      <c r="E126" s="63"/>
      <c r="F126" s="63"/>
      <c r="G126" s="63"/>
      <c r="H126" s="63"/>
      <c r="I126" s="107">
        <v>-48.391871138713888</v>
      </c>
      <c r="J126" s="107">
        <v>7258.780670807083</v>
      </c>
      <c r="K126" s="63"/>
      <c r="L126" s="114">
        <f t="shared" si="62"/>
        <v>4140</v>
      </c>
      <c r="M126" s="139">
        <f t="shared" si="69"/>
        <v>6048.9838923392363</v>
      </c>
      <c r="N126" s="140">
        <f t="shared" si="70"/>
        <v>4140</v>
      </c>
      <c r="O126" s="63"/>
      <c r="P126" s="63" t="str">
        <f t="shared" si="64"/>
        <v>CLU058-3618C4</v>
      </c>
      <c r="Q126" s="71" t="b">
        <f t="shared" si="65"/>
        <v>1</v>
      </c>
      <c r="R126" s="114">
        <f t="shared" si="66"/>
        <v>90</v>
      </c>
      <c r="S126" s="114"/>
      <c r="T126" s="114">
        <f t="shared" ref="T126" si="76">N126</f>
        <v>4140</v>
      </c>
      <c r="U126" s="71" t="b">
        <f t="shared" si="67"/>
        <v>0</v>
      </c>
      <c r="V126" s="71" t="b">
        <f t="shared" si="68"/>
        <v>1</v>
      </c>
      <c r="W126" s="71" t="b">
        <f t="shared" ref="W126" si="77">AND(U126,Q126,V126)</f>
        <v>0</v>
      </c>
    </row>
    <row r="127" spans="1:32" ht="16.5" hidden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 t="s">
        <v>84</v>
      </c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32" ht="16.5" hidden="1">
      <c r="A128" s="98"/>
      <c r="B128" s="98" t="s">
        <v>42</v>
      </c>
      <c r="C128" s="98" t="s">
        <v>43</v>
      </c>
      <c r="D128" s="98" t="s">
        <v>44</v>
      </c>
      <c r="E128" s="98" t="s">
        <v>45</v>
      </c>
      <c r="F128" s="98" t="s">
        <v>46</v>
      </c>
      <c r="G128" s="63"/>
      <c r="H128" s="63"/>
      <c r="I128" s="63"/>
      <c r="J128" s="63"/>
      <c r="K128" s="141"/>
      <c r="L128" s="141">
        <v>1</v>
      </c>
      <c r="M128" s="141">
        <v>2</v>
      </c>
      <c r="N128" s="141">
        <v>3</v>
      </c>
      <c r="O128" s="141">
        <v>4</v>
      </c>
      <c r="P128" s="141">
        <v>5</v>
      </c>
      <c r="Q128" s="141">
        <v>6</v>
      </c>
      <c r="R128" s="141">
        <v>7</v>
      </c>
      <c r="S128" s="141">
        <v>8</v>
      </c>
      <c r="T128" s="141">
        <v>9</v>
      </c>
      <c r="U128" s="141">
        <v>10</v>
      </c>
      <c r="V128" s="141">
        <v>11</v>
      </c>
      <c r="W128" s="141">
        <v>12</v>
      </c>
      <c r="X128" s="141">
        <v>13</v>
      </c>
      <c r="Y128" s="141">
        <v>14</v>
      </c>
      <c r="Z128" s="141">
        <v>15</v>
      </c>
      <c r="AA128" s="141">
        <v>16</v>
      </c>
      <c r="AB128" s="141">
        <v>17</v>
      </c>
      <c r="AC128" s="141">
        <v>18</v>
      </c>
      <c r="AD128" s="141">
        <v>19</v>
      </c>
      <c r="AE128" s="141">
        <v>20</v>
      </c>
      <c r="AF128" s="141">
        <v>21</v>
      </c>
    </row>
    <row r="129" spans="1:32" ht="16.5" hidden="1">
      <c r="A129" s="98" t="s">
        <v>47</v>
      </c>
      <c r="B129" s="60">
        <f t="shared" ref="B129:F131" si="78">C62</f>
        <v>1.0119431074742607E-8</v>
      </c>
      <c r="C129" s="60">
        <f t="shared" si="78"/>
        <v>0.21105761006135373</v>
      </c>
      <c r="D129" s="60">
        <f t="shared" si="78"/>
        <v>-1.6935931880461949E-6</v>
      </c>
      <c r="E129" s="60">
        <f t="shared" si="78"/>
        <v>-1.115215453639155E-8</v>
      </c>
      <c r="F129" s="60">
        <f t="shared" si="78"/>
        <v>2.7366883102613162E-6</v>
      </c>
      <c r="G129" s="63"/>
      <c r="H129" s="65" t="s">
        <v>1</v>
      </c>
      <c r="I129" s="65" t="s">
        <v>2</v>
      </c>
      <c r="J129" s="63"/>
      <c r="K129" s="141" t="s">
        <v>50</v>
      </c>
      <c r="L129" s="141" t="str">
        <f>L2</f>
        <v>5000K,70Min</v>
      </c>
      <c r="M129" s="141" t="str">
        <f>L3</f>
        <v>4000K,70Min</v>
      </c>
      <c r="N129" s="141" t="str">
        <f>L4</f>
        <v>3000K,70Min</v>
      </c>
      <c r="O129" s="141" t="str">
        <f>L5</f>
        <v>6500K,80Min</v>
      </c>
      <c r="P129" s="141" t="str">
        <f>L6</f>
        <v>5700K,80Min</v>
      </c>
      <c r="Q129" s="141" t="str">
        <f>L7</f>
        <v>5000K,80Min</v>
      </c>
      <c r="R129" s="141" t="str">
        <f>L8</f>
        <v>4000K,80Min</v>
      </c>
      <c r="S129" s="141" t="str">
        <f>L9</f>
        <v>3500K,80Min</v>
      </c>
      <c r="T129" s="141" t="str">
        <f>L10</f>
        <v>3000K,80Min</v>
      </c>
      <c r="U129" s="141" t="str">
        <f>L11</f>
        <v>2700K,80Min</v>
      </c>
      <c r="V129" s="141" t="str">
        <f>L12</f>
        <v>5700K,90Min On BBL</v>
      </c>
      <c r="W129" s="141" t="str">
        <f>L13</f>
        <v>4000K,90Min On BBL</v>
      </c>
      <c r="X129" s="141" t="str">
        <f>L14</f>
        <v>3500K,90Min On BBL</v>
      </c>
      <c r="Y129" s="141" t="str">
        <f>L15</f>
        <v>3000K,90Min On BBL</v>
      </c>
      <c r="Z129" s="141" t="str">
        <f>L16</f>
        <v>2700K,90Min On BBL</v>
      </c>
      <c r="AA129" s="141" t="str">
        <f>L17</f>
        <v>3500K,90Min B. BBL</v>
      </c>
      <c r="AB129" s="141" t="str">
        <f>L18</f>
        <v>3000K,90Min B. BBL</v>
      </c>
      <c r="AC129" s="141" t="str">
        <f>L19</f>
        <v>2700K,90Min B. BBL</v>
      </c>
      <c r="AD129" s="141" t="str">
        <f>L20</f>
        <v>4000K,97Typ</v>
      </c>
      <c r="AE129" s="141" t="str">
        <f>L21</f>
        <v>3000K,97Typ</v>
      </c>
      <c r="AF129" s="141" t="str">
        <f>L22</f>
        <v>2700K,97Typ</v>
      </c>
    </row>
    <row r="130" spans="1:32" ht="16.5" hidden="1">
      <c r="A130" s="98" t="s">
        <v>48</v>
      </c>
      <c r="B130" s="60">
        <f t="shared" si="78"/>
        <v>-1.2314719114487644E-5</v>
      </c>
      <c r="C130" s="60">
        <f t="shared" si="78"/>
        <v>8.6374162150953868</v>
      </c>
      <c r="D130" s="60">
        <f t="shared" si="78"/>
        <v>1.3420711790919167E-3</v>
      </c>
      <c r="E130" s="60">
        <f t="shared" si="78"/>
        <v>-4.1294483136519757E-6</v>
      </c>
      <c r="F130" s="60">
        <f t="shared" si="78"/>
        <v>-9.4613757242850683E-4</v>
      </c>
      <c r="G130" s="63">
        <f>H130*I130</f>
        <v>12</v>
      </c>
      <c r="H130" s="63">
        <f t="shared" ref="H130:I137" si="79">H70</f>
        <v>12</v>
      </c>
      <c r="I130" s="63">
        <f t="shared" si="79"/>
        <v>1</v>
      </c>
      <c r="J130" s="63" t="str">
        <f t="shared" ref="J130:J137" si="80">B2</f>
        <v>CLU028-1201C4</v>
      </c>
      <c r="K130" s="142">
        <f t="shared" ref="K130:O137" si="81">K70</f>
        <v>35.22246029179032</v>
      </c>
      <c r="L130" s="88">
        <f t="shared" si="81"/>
        <v>572.84472871613332</v>
      </c>
      <c r="M130" s="88">
        <f t="shared" si="81"/>
        <v>565.07357929556565</v>
      </c>
      <c r="N130" s="88">
        <f t="shared" si="81"/>
        <v>549.5312804544302</v>
      </c>
      <c r="O130" s="88">
        <f t="shared" si="81"/>
        <v>550.64144465736842</v>
      </c>
      <c r="P130" s="87" t="s">
        <v>126</v>
      </c>
      <c r="Q130" s="88">
        <f t="shared" ref="Q130:U143" si="82">Q70</f>
        <v>540.64996683092431</v>
      </c>
      <c r="R130" s="88">
        <f t="shared" si="82"/>
        <v>532.87881741035653</v>
      </c>
      <c r="S130" s="88">
        <f t="shared" si="82"/>
        <v>528.43816059860364</v>
      </c>
      <c r="T130" s="88">
        <f t="shared" si="82"/>
        <v>519.55684697509764</v>
      </c>
      <c r="U130" s="88">
        <f t="shared" si="82"/>
        <v>498.46372711927108</v>
      </c>
      <c r="V130" s="87" t="s">
        <v>126</v>
      </c>
      <c r="W130" s="88">
        <f t="shared" ref="W130:Z143" si="83">W70</f>
        <v>451.83683059586485</v>
      </c>
      <c r="X130" s="88">
        <f t="shared" si="83"/>
        <v>451.83683059586485</v>
      </c>
      <c r="Y130" s="88">
        <f t="shared" si="83"/>
        <v>445.17584537823541</v>
      </c>
      <c r="Z130" s="88">
        <f t="shared" si="83"/>
        <v>427.41321813122352</v>
      </c>
      <c r="AA130" s="87" t="s">
        <v>128</v>
      </c>
      <c r="AB130" s="87" t="s">
        <v>128</v>
      </c>
      <c r="AC130" s="87" t="s">
        <v>128</v>
      </c>
      <c r="AD130" s="88">
        <f t="shared" ref="AD130:AF136" si="84">AD70</f>
        <v>407.43026247833512</v>
      </c>
      <c r="AE130" s="88">
        <f t="shared" si="84"/>
        <v>397.43878465189096</v>
      </c>
      <c r="AF130" s="88">
        <f t="shared" si="84"/>
        <v>383.00665001369379</v>
      </c>
    </row>
    <row r="131" spans="1:32" ht="16.5" hidden="1">
      <c r="A131" s="98" t="s">
        <v>49</v>
      </c>
      <c r="B131" s="60">
        <f t="shared" si="78"/>
        <v>1.2119154446513892E-2</v>
      </c>
      <c r="C131" s="60">
        <f t="shared" si="78"/>
        <v>81.029256393012432</v>
      </c>
      <c r="D131" s="60">
        <f t="shared" si="78"/>
        <v>0.89293169870490163</v>
      </c>
      <c r="E131" s="60">
        <f t="shared" si="78"/>
        <v>-1.3906686657642209E-3</v>
      </c>
      <c r="F131" s="60">
        <f t="shared" si="78"/>
        <v>1.0219430090961608</v>
      </c>
      <c r="G131" s="63">
        <f>H131*I131</f>
        <v>24</v>
      </c>
      <c r="H131" s="63">
        <f t="shared" si="79"/>
        <v>12</v>
      </c>
      <c r="I131" s="63">
        <f t="shared" si="79"/>
        <v>2</v>
      </c>
      <c r="J131" s="63" t="str">
        <f t="shared" si="80"/>
        <v>CLU028-1202C4</v>
      </c>
      <c r="K131" s="142">
        <f t="shared" si="81"/>
        <v>35.19890341080044</v>
      </c>
      <c r="L131" s="88">
        <f t="shared" si="81"/>
        <v>1125.645373380097</v>
      </c>
      <c r="M131" s="88">
        <f t="shared" si="81"/>
        <v>1114.577080623164</v>
      </c>
      <c r="N131" s="88">
        <f t="shared" si="81"/>
        <v>1083.5858609037512</v>
      </c>
      <c r="O131" s="88">
        <f t="shared" si="81"/>
        <v>1082.4790316280578</v>
      </c>
      <c r="P131" s="87" t="s">
        <v>126</v>
      </c>
      <c r="Q131" s="88">
        <f t="shared" si="82"/>
        <v>1062.5561046655782</v>
      </c>
      <c r="R131" s="88">
        <f t="shared" si="82"/>
        <v>1049.2741533572585</v>
      </c>
      <c r="S131" s="88">
        <f t="shared" si="82"/>
        <v>1041.5263484274053</v>
      </c>
      <c r="T131" s="88">
        <f t="shared" si="82"/>
        <v>1022.7102507406191</v>
      </c>
      <c r="U131" s="88">
        <f t="shared" si="82"/>
        <v>980.65073826427329</v>
      </c>
      <c r="V131" s="87" t="s">
        <v>126</v>
      </c>
      <c r="W131" s="88">
        <f t="shared" si="83"/>
        <v>890.99756693311508</v>
      </c>
      <c r="X131" s="88">
        <f t="shared" si="83"/>
        <v>888.78390838172845</v>
      </c>
      <c r="Y131" s="88">
        <f t="shared" si="83"/>
        <v>875.50195707340879</v>
      </c>
      <c r="Z131" s="88">
        <f t="shared" si="83"/>
        <v>843.40390807830272</v>
      </c>
      <c r="AA131" s="87" t="s">
        <v>128</v>
      </c>
      <c r="AB131" s="87" t="s">
        <v>128</v>
      </c>
      <c r="AC131" s="87" t="s">
        <v>128</v>
      </c>
      <c r="AD131" s="88">
        <f t="shared" si="84"/>
        <v>803.55805415334362</v>
      </c>
      <c r="AE131" s="88">
        <f t="shared" si="84"/>
        <v>783.63512719086395</v>
      </c>
      <c r="AF131" s="88">
        <f t="shared" si="84"/>
        <v>753.75073674714463</v>
      </c>
    </row>
    <row r="132" spans="1:32" ht="16.5" hidden="1">
      <c r="A132" s="103" t="s">
        <v>65</v>
      </c>
      <c r="B132" s="60">
        <f>C65</f>
        <v>1.648259387612208E-3</v>
      </c>
      <c r="C132" s="60">
        <f>D65</f>
        <v>0.11848164478038881</v>
      </c>
      <c r="D132" s="63"/>
      <c r="E132" s="60">
        <f>F65</f>
        <v>1.0375218742414281</v>
      </c>
      <c r="F132" s="63"/>
      <c r="G132" s="63">
        <f t="shared" ref="G132:G142" si="85">H132*I132</f>
        <v>36</v>
      </c>
      <c r="H132" s="63">
        <f t="shared" si="79"/>
        <v>12</v>
      </c>
      <c r="I132" s="63">
        <f t="shared" si="79"/>
        <v>3</v>
      </c>
      <c r="J132" s="63" t="str">
        <f t="shared" si="80"/>
        <v>CLU028-1203C4</v>
      </c>
      <c r="K132" s="142">
        <f t="shared" si="81"/>
        <v>35.19890341080044</v>
      </c>
      <c r="L132" s="88">
        <f t="shared" si="81"/>
        <v>1658.0302549885794</v>
      </c>
      <c r="M132" s="88">
        <f t="shared" si="81"/>
        <v>1641.4278158531797</v>
      </c>
      <c r="N132" s="88">
        <f t="shared" si="81"/>
        <v>1596.047815549754</v>
      </c>
      <c r="O132" s="88">
        <f t="shared" si="81"/>
        <v>1592.7273277226741</v>
      </c>
      <c r="P132" s="87" t="s">
        <v>126</v>
      </c>
      <c r="Q132" s="88">
        <f t="shared" si="82"/>
        <v>1565.0565958303414</v>
      </c>
      <c r="R132" s="88">
        <f t="shared" si="82"/>
        <v>1546.240498143555</v>
      </c>
      <c r="S132" s="88">
        <f t="shared" si="82"/>
        <v>1531.8517175595421</v>
      </c>
      <c r="T132" s="88">
        <f t="shared" si="82"/>
        <v>1507.5014734942893</v>
      </c>
      <c r="U132" s="88">
        <f t="shared" si="82"/>
        <v>1445.5190340554639</v>
      </c>
      <c r="V132" s="87" t="s">
        <v>126</v>
      </c>
      <c r="W132" s="88">
        <f t="shared" si="83"/>
        <v>1311.5926916965732</v>
      </c>
      <c r="X132" s="88">
        <f t="shared" si="83"/>
        <v>1308.2722038694933</v>
      </c>
      <c r="Y132" s="88">
        <f t="shared" si="83"/>
        <v>1291.6697647340936</v>
      </c>
      <c r="Z132" s="88">
        <f t="shared" si="83"/>
        <v>1241.8624473278946</v>
      </c>
      <c r="AA132" s="88">
        <f>AA72</f>
        <v>1242.969276603588</v>
      </c>
      <c r="AB132" s="88">
        <f>AB72</f>
        <v>1226.3668374681884</v>
      </c>
      <c r="AC132" s="88">
        <f>AC72</f>
        <v>1178.7731786133759</v>
      </c>
      <c r="AD132" s="88">
        <f t="shared" si="84"/>
        <v>1183.2004957161491</v>
      </c>
      <c r="AE132" s="88">
        <f t="shared" si="84"/>
        <v>1155.5297638238164</v>
      </c>
      <c r="AF132" s="88">
        <f t="shared" si="84"/>
        <v>1112.3634220717772</v>
      </c>
    </row>
    <row r="133" spans="1:32" ht="16.5" hidden="1">
      <c r="A133" s="63"/>
      <c r="B133" s="63"/>
      <c r="C133" s="63"/>
      <c r="D133" s="63" t="s">
        <v>62</v>
      </c>
      <c r="E133" s="113">
        <f>Simulator!G6</f>
        <v>1400</v>
      </c>
      <c r="G133" s="63">
        <f t="shared" si="85"/>
        <v>48</v>
      </c>
      <c r="H133" s="63">
        <f t="shared" si="79"/>
        <v>12</v>
      </c>
      <c r="I133" s="63">
        <f t="shared" si="79"/>
        <v>4</v>
      </c>
      <c r="J133" s="63" t="str">
        <f t="shared" si="80"/>
        <v>CLU028-1204C4</v>
      </c>
      <c r="K133" s="142">
        <f t="shared" si="81"/>
        <v>35.17268259197111</v>
      </c>
      <c r="L133" s="88">
        <f t="shared" si="81"/>
        <v>2162.2955059506476</v>
      </c>
      <c r="M133" s="88">
        <f t="shared" si="81"/>
        <v>2141.3344780868401</v>
      </c>
      <c r="N133" s="88">
        <f t="shared" si="81"/>
        <v>2082.864242466746</v>
      </c>
      <c r="O133" s="88">
        <f t="shared" si="81"/>
        <v>2078.4513944954183</v>
      </c>
      <c r="P133" s="87" t="s">
        <v>126</v>
      </c>
      <c r="Q133" s="88">
        <f t="shared" si="82"/>
        <v>2040.9421867391316</v>
      </c>
      <c r="R133" s="88">
        <f t="shared" si="82"/>
        <v>2018.8779468824923</v>
      </c>
      <c r="S133" s="88">
        <f t="shared" si="82"/>
        <v>2001.2265549971808</v>
      </c>
      <c r="T133" s="88">
        <f t="shared" si="82"/>
        <v>1967.0269832193901</v>
      </c>
      <c r="U133" s="88">
        <f t="shared" si="82"/>
        <v>1885.3892957498247</v>
      </c>
      <c r="V133" s="87" t="s">
        <v>126</v>
      </c>
      <c r="W133" s="88">
        <f t="shared" si="83"/>
        <v>1712.1850128752064</v>
      </c>
      <c r="X133" s="88">
        <f t="shared" si="83"/>
        <v>1708.8753768967106</v>
      </c>
      <c r="Y133" s="88">
        <f t="shared" si="83"/>
        <v>1685.7079250472395</v>
      </c>
      <c r="Z133" s="88">
        <f t="shared" si="83"/>
        <v>1619.5152054773216</v>
      </c>
      <c r="AA133" s="87" t="s">
        <v>128</v>
      </c>
      <c r="AB133" s="87" t="s">
        <v>128</v>
      </c>
      <c r="AC133" s="87" t="s">
        <v>128</v>
      </c>
      <c r="AD133" s="88">
        <f t="shared" si="84"/>
        <v>1546.7032139504122</v>
      </c>
      <c r="AE133" s="88">
        <f t="shared" si="84"/>
        <v>1508.0907942012934</v>
      </c>
      <c r="AF133" s="88">
        <f t="shared" si="84"/>
        <v>1449.6205585811992</v>
      </c>
    </row>
    <row r="134" spans="1:32" ht="16.5" hidden="1">
      <c r="A134" s="63"/>
      <c r="B134" s="108"/>
      <c r="C134" s="108"/>
      <c r="D134" s="63"/>
      <c r="E134" s="63"/>
      <c r="G134" s="63">
        <f t="shared" si="85"/>
        <v>60</v>
      </c>
      <c r="H134" s="63">
        <f t="shared" si="79"/>
        <v>12</v>
      </c>
      <c r="I134" s="63">
        <f t="shared" si="79"/>
        <v>5</v>
      </c>
      <c r="J134" s="63" t="str">
        <f t="shared" si="80"/>
        <v>CLU038-1205C4</v>
      </c>
      <c r="K134" s="142">
        <f t="shared" si="81"/>
        <v>35.175079608745882</v>
      </c>
      <c r="L134" s="88">
        <f t="shared" si="81"/>
        <v>2821.7483240620691</v>
      </c>
      <c r="M134" s="88">
        <f t="shared" si="81"/>
        <v>2793.0563192026193</v>
      </c>
      <c r="N134" s="88">
        <f t="shared" si="81"/>
        <v>2718.0156911086729</v>
      </c>
      <c r="O134" s="88">
        <f t="shared" si="81"/>
        <v>2712.497997866471</v>
      </c>
      <c r="P134" s="87" t="s">
        <v>126</v>
      </c>
      <c r="Q134" s="88">
        <f t="shared" si="82"/>
        <v>2663.9422973350938</v>
      </c>
      <c r="R134" s="88">
        <f t="shared" si="82"/>
        <v>2631.9396765303227</v>
      </c>
      <c r="S134" s="88">
        <f t="shared" si="82"/>
        <v>2610.9724422099553</v>
      </c>
      <c r="T134" s="88">
        <f t="shared" si="82"/>
        <v>2566.8308962723399</v>
      </c>
      <c r="U134" s="88">
        <f t="shared" si="82"/>
        <v>2461.9947246705033</v>
      </c>
      <c r="V134" s="87" t="s">
        <v>126</v>
      </c>
      <c r="W134" s="88">
        <f t="shared" si="83"/>
        <v>2232.4586857949025</v>
      </c>
      <c r="X134" s="88">
        <f t="shared" si="83"/>
        <v>2229.1480698495816</v>
      </c>
      <c r="Y134" s="88">
        <f t="shared" si="83"/>
        <v>2198.2489876932505</v>
      </c>
      <c r="Z134" s="88">
        <f t="shared" si="83"/>
        <v>2114.3800504117812</v>
      </c>
      <c r="AA134" s="88">
        <f t="shared" ref="AA134:AC136" si="86">AA74</f>
        <v>2118.7942050055426</v>
      </c>
      <c r="AB134" s="88">
        <f t="shared" si="86"/>
        <v>2087.8951228492119</v>
      </c>
      <c r="AC134" s="88">
        <f t="shared" si="86"/>
        <v>2008.4403401615041</v>
      </c>
      <c r="AD134" s="88">
        <f t="shared" si="84"/>
        <v>2016.1651107005869</v>
      </c>
      <c r="AE134" s="88">
        <f t="shared" si="84"/>
        <v>1967.6094101692099</v>
      </c>
      <c r="AF134" s="88">
        <f t="shared" si="84"/>
        <v>1891.465243426823</v>
      </c>
    </row>
    <row r="135" spans="1:32" ht="16.5" hidden="1">
      <c r="A135" s="63"/>
      <c r="B135" s="114"/>
      <c r="C135" s="85"/>
      <c r="D135" s="63" t="s">
        <v>63</v>
      </c>
      <c r="E135" s="135">
        <f>Simulator!L6</f>
        <v>25</v>
      </c>
      <c r="G135" s="63">
        <f t="shared" si="85"/>
        <v>72</v>
      </c>
      <c r="H135" s="63">
        <f t="shared" si="79"/>
        <v>12</v>
      </c>
      <c r="I135" s="63">
        <f t="shared" si="79"/>
        <v>6</v>
      </c>
      <c r="J135" s="63" t="str">
        <f t="shared" si="80"/>
        <v>CLU038-1206C4</v>
      </c>
      <c r="K135" s="142">
        <f t="shared" si="81"/>
        <v>35.159451544125091</v>
      </c>
      <c r="L135" s="88">
        <f t="shared" si="81"/>
        <v>3346.1234876729245</v>
      </c>
      <c r="M135" s="88">
        <f t="shared" si="81"/>
        <v>3310.877947315606</v>
      </c>
      <c r="N135" s="88">
        <f t="shared" si="81"/>
        <v>3221.6626732861432</v>
      </c>
      <c r="O135" s="88">
        <f t="shared" si="81"/>
        <v>3215.054134469146</v>
      </c>
      <c r="P135" s="87" t="s">
        <v>126</v>
      </c>
      <c r="Q135" s="88">
        <f t="shared" si="82"/>
        <v>3157.7801313885038</v>
      </c>
      <c r="R135" s="88">
        <f t="shared" si="82"/>
        <v>3121.4331678950189</v>
      </c>
      <c r="S135" s="88">
        <f t="shared" si="82"/>
        <v>3096.1004357631964</v>
      </c>
      <c r="T135" s="88">
        <f t="shared" si="82"/>
        <v>3042.1307020910522</v>
      </c>
      <c r="U135" s="88">
        <f t="shared" si="82"/>
        <v>2919.8727339766037</v>
      </c>
      <c r="V135" s="87" t="s">
        <v>126</v>
      </c>
      <c r="W135" s="88">
        <f t="shared" si="83"/>
        <v>2645.6183730712191</v>
      </c>
      <c r="X135" s="88">
        <f t="shared" si="83"/>
        <v>2644.5169499350532</v>
      </c>
      <c r="Y135" s="88">
        <f t="shared" si="83"/>
        <v>2605.9671401692358</v>
      </c>
      <c r="Z135" s="88">
        <f t="shared" si="83"/>
        <v>2506.8390579142779</v>
      </c>
      <c r="AA135" s="88">
        <f t="shared" si="86"/>
        <v>2511.2447504589427</v>
      </c>
      <c r="AB135" s="88">
        <f t="shared" si="86"/>
        <v>2474.8977869654577</v>
      </c>
      <c r="AC135" s="88">
        <f t="shared" si="86"/>
        <v>2380.1753972551646</v>
      </c>
      <c r="AD135" s="88">
        <f t="shared" si="84"/>
        <v>2390.0882054806602</v>
      </c>
      <c r="AE135" s="88">
        <f t="shared" si="84"/>
        <v>2331.7127792638516</v>
      </c>
      <c r="AF135" s="88">
        <f t="shared" si="84"/>
        <v>2243.5989283705553</v>
      </c>
    </row>
    <row r="136" spans="1:32" ht="16.5" hidden="1">
      <c r="A136" s="63"/>
      <c r="B136" s="63"/>
      <c r="C136" s="63"/>
      <c r="D136" s="63"/>
      <c r="E136" s="63"/>
      <c r="G136" s="63">
        <f t="shared" si="85"/>
        <v>96</v>
      </c>
      <c r="H136" s="63">
        <f t="shared" si="79"/>
        <v>12</v>
      </c>
      <c r="I136" s="63">
        <f t="shared" si="79"/>
        <v>8</v>
      </c>
      <c r="J136" s="63" t="str">
        <f t="shared" si="80"/>
        <v>CLU038-1208C4</v>
      </c>
      <c r="K136" s="142">
        <f t="shared" si="81"/>
        <v>35.148566502536383</v>
      </c>
      <c r="L136" s="88">
        <f t="shared" si="81"/>
        <v>4369.0777379933552</v>
      </c>
      <c r="M136" s="88">
        <f t="shared" si="81"/>
        <v>4325.0789692320932</v>
      </c>
      <c r="N136" s="88">
        <f t="shared" si="81"/>
        <v>4207.3822627957161</v>
      </c>
      <c r="O136" s="88">
        <f t="shared" si="81"/>
        <v>4198.5825090434637</v>
      </c>
      <c r="P136" s="88">
        <f t="shared" ref="P136" si="87">P76</f>
        <v>4164.4834632534858</v>
      </c>
      <c r="Q136" s="88">
        <f t="shared" si="82"/>
        <v>4123.7846021493178</v>
      </c>
      <c r="R136" s="88">
        <f t="shared" si="82"/>
        <v>4076.4859257309604</v>
      </c>
      <c r="S136" s="88">
        <f t="shared" si="82"/>
        <v>4043.4868491600137</v>
      </c>
      <c r="T136" s="88">
        <f t="shared" si="82"/>
        <v>3973.088819141994</v>
      </c>
      <c r="U136" s="88">
        <f t="shared" si="82"/>
        <v>3811.3933439443545</v>
      </c>
      <c r="V136" s="88">
        <f t="shared" ref="V136:V143" si="88">V76</f>
        <v>3574.8999618525695</v>
      </c>
      <c r="W136" s="88">
        <f t="shared" si="83"/>
        <v>3456.1032861971607</v>
      </c>
      <c r="X136" s="88">
        <f t="shared" si="83"/>
        <v>3453.9033477590979</v>
      </c>
      <c r="Y136" s="88">
        <f t="shared" si="83"/>
        <v>3404.4047329026776</v>
      </c>
      <c r="Z136" s="88">
        <f t="shared" si="83"/>
        <v>3273.5083958379219</v>
      </c>
      <c r="AA136" s="88">
        <f t="shared" si="86"/>
        <v>3280.1082111521114</v>
      </c>
      <c r="AB136" s="88">
        <f t="shared" si="86"/>
        <v>3233.9095039527856</v>
      </c>
      <c r="AC136" s="88">
        <f t="shared" si="86"/>
        <v>3109.6129822022194</v>
      </c>
      <c r="AD136" s="88">
        <f t="shared" si="84"/>
        <v>3122.812612830598</v>
      </c>
      <c r="AE136" s="88">
        <f t="shared" si="84"/>
        <v>3045.8147674983888</v>
      </c>
      <c r="AF136" s="88">
        <f t="shared" si="84"/>
        <v>2929.2180302810439</v>
      </c>
    </row>
    <row r="137" spans="1:32" ht="16.5" hidden="1">
      <c r="A137" s="63"/>
      <c r="B137" s="63"/>
      <c r="C137" s="64"/>
      <c r="G137" s="63">
        <f t="shared" si="85"/>
        <v>120</v>
      </c>
      <c r="H137" s="63">
        <f t="shared" si="79"/>
        <v>12</v>
      </c>
      <c r="I137" s="63">
        <f t="shared" si="79"/>
        <v>10</v>
      </c>
      <c r="J137" s="63" t="str">
        <f t="shared" si="80"/>
        <v>CLU038-1210C4</v>
      </c>
      <c r="K137" s="142">
        <f t="shared" si="81"/>
        <v>35.138845941719907</v>
      </c>
      <c r="L137" s="88">
        <f t="shared" si="81"/>
        <v>5419.8087305514437</v>
      </c>
      <c r="M137" s="88">
        <f t="shared" si="81"/>
        <v>5365.973209003294</v>
      </c>
      <c r="N137" s="88">
        <f t="shared" si="81"/>
        <v>5220.9469060572592</v>
      </c>
      <c r="O137" s="88">
        <f t="shared" si="81"/>
        <v>5208.8613808117561</v>
      </c>
      <c r="P137" s="88">
        <f t="shared" ref="P137" si="89">P77</f>
        <v>5167.1113845091095</v>
      </c>
      <c r="Q137" s="88">
        <f t="shared" si="82"/>
        <v>5115.473231187415</v>
      </c>
      <c r="R137" s="88">
        <f t="shared" si="82"/>
        <v>5056.1442890731287</v>
      </c>
      <c r="S137" s="88">
        <f t="shared" si="82"/>
        <v>5014.394292770482</v>
      </c>
      <c r="T137" s="88">
        <f t="shared" si="82"/>
        <v>4929.7956160519616</v>
      </c>
      <c r="U137" s="88">
        <f t="shared" si="82"/>
        <v>4719.9469504255021</v>
      </c>
      <c r="V137" s="88">
        <f t="shared" si="88"/>
        <v>4434.289080986342</v>
      </c>
      <c r="W137" s="88">
        <f t="shared" si="83"/>
        <v>4288.1640939270792</v>
      </c>
      <c r="X137" s="88">
        <f t="shared" si="83"/>
        <v>4280.4733051344865</v>
      </c>
      <c r="Y137" s="88">
        <f t="shared" si="83"/>
        <v>4223.3417312466545</v>
      </c>
      <c r="Z137" s="88">
        <f t="shared" si="83"/>
        <v>4053.0456936963865</v>
      </c>
      <c r="AA137" s="87" t="s">
        <v>128</v>
      </c>
      <c r="AB137" s="87" t="s">
        <v>128</v>
      </c>
      <c r="AC137" s="87" t="s">
        <v>128</v>
      </c>
      <c r="AD137" s="87" t="s">
        <v>128</v>
      </c>
      <c r="AE137" s="87" t="s">
        <v>128</v>
      </c>
      <c r="AF137" s="87" t="s">
        <v>128</v>
      </c>
    </row>
    <row r="138" spans="1:32" ht="16.5" hidden="1">
      <c r="A138" s="98"/>
      <c r="B138" s="98"/>
      <c r="C138" s="98"/>
      <c r="D138" s="103"/>
      <c r="E138" s="103"/>
      <c r="F138" s="103"/>
      <c r="G138" s="63">
        <f t="shared" ref="G138" si="90">H138*I138</f>
        <v>132</v>
      </c>
      <c r="H138" s="63">
        <f t="shared" ref="H138:I138" si="91">H78</f>
        <v>12</v>
      </c>
      <c r="I138" s="63">
        <f t="shared" si="91"/>
        <v>11</v>
      </c>
      <c r="J138" s="63" t="str">
        <f t="shared" ref="J138:J143" si="92">B10</f>
        <v>CLU048-1211C4</v>
      </c>
      <c r="K138" s="142">
        <f t="shared" ref="K138:O138" si="93">K78</f>
        <v>35.141280045346839</v>
      </c>
      <c r="L138" s="88">
        <f t="shared" ref="L138:L143" si="94">L78</f>
        <v>6207.1788358913909</v>
      </c>
      <c r="M138" s="88">
        <f t="shared" si="93"/>
        <v>6143.4365603103533</v>
      </c>
      <c r="N138" s="88">
        <f t="shared" si="93"/>
        <v>5978.5858476007734</v>
      </c>
      <c r="O138" s="88">
        <f t="shared" si="93"/>
        <v>5964.2987858326096</v>
      </c>
      <c r="P138" s="88">
        <f t="shared" ref="P138" si="95">P78</f>
        <v>5917.0415815225297</v>
      </c>
      <c r="Q138" s="88">
        <f t="shared" si="82"/>
        <v>5857.6953249470816</v>
      </c>
      <c r="R138" s="88">
        <f t="shared" si="82"/>
        <v>5790.6560351118524</v>
      </c>
      <c r="S138" s="88">
        <f t="shared" si="82"/>
        <v>5744.4978355531694</v>
      </c>
      <c r="T138" s="88">
        <f t="shared" si="82"/>
        <v>5645.5874079274217</v>
      </c>
      <c r="U138" s="88">
        <f t="shared" si="82"/>
        <v>5413.6974053826116</v>
      </c>
      <c r="V138" s="88">
        <f t="shared" si="88"/>
        <v>5078.5009562064661</v>
      </c>
      <c r="W138" s="88">
        <f t="shared" si="83"/>
        <v>4910.3532292426944</v>
      </c>
      <c r="X138" s="88">
        <f t="shared" si="83"/>
        <v>4904.8582054857079</v>
      </c>
      <c r="Y138" s="88">
        <f t="shared" si="83"/>
        <v>4835.6209061476848</v>
      </c>
      <c r="Z138" s="88">
        <f t="shared" si="83"/>
        <v>4649.8891031615576</v>
      </c>
      <c r="AA138" s="88">
        <f t="shared" ref="AA138:AF139" si="96">AA78</f>
        <v>4659.7801459241318</v>
      </c>
      <c r="AB138" s="88">
        <f t="shared" si="96"/>
        <v>4594.9388655916973</v>
      </c>
      <c r="AC138" s="88">
        <f t="shared" si="96"/>
        <v>4417.9991006167484</v>
      </c>
      <c r="AD138" s="88">
        <f t="shared" si="96"/>
        <v>4435.5831766391029</v>
      </c>
      <c r="AE138" s="88">
        <f t="shared" si="96"/>
        <v>4327.8807110021771</v>
      </c>
      <c r="AF138" s="88">
        <f t="shared" si="96"/>
        <v>4160.8319887898033</v>
      </c>
    </row>
    <row r="139" spans="1:32" ht="16.5" hidden="1">
      <c r="A139" s="98"/>
      <c r="B139" s="98"/>
      <c r="C139" s="98"/>
      <c r="D139" s="103"/>
      <c r="E139" s="103"/>
      <c r="F139" s="103"/>
      <c r="G139" s="63">
        <f t="shared" si="85"/>
        <v>144</v>
      </c>
      <c r="H139" s="63">
        <f t="shared" ref="H139:I143" si="97">H79</f>
        <v>12</v>
      </c>
      <c r="I139" s="63">
        <f t="shared" si="97"/>
        <v>12</v>
      </c>
      <c r="J139" s="63" t="str">
        <f t="shared" si="92"/>
        <v>CLU048-1212C4</v>
      </c>
      <c r="K139" s="142">
        <f>K79</f>
        <v>35.148566502536383</v>
      </c>
      <c r="L139" s="88">
        <f t="shared" si="94"/>
        <v>6776.9103584534396</v>
      </c>
      <c r="M139" s="88">
        <f t="shared" ref="M139:O139" si="98">M79</f>
        <v>6708.7122668734828</v>
      </c>
      <c r="N139" s="88">
        <f t="shared" si="98"/>
        <v>6528.3173149523072</v>
      </c>
      <c r="O139" s="88">
        <f t="shared" si="98"/>
        <v>6511.8177766668341</v>
      </c>
      <c r="P139" s="88">
        <f t="shared" ref="P139" si="99">P79</f>
        <v>6460.1192233723505</v>
      </c>
      <c r="Q139" s="88">
        <f t="shared" si="82"/>
        <v>6396.3210086685203</v>
      </c>
      <c r="R139" s="88">
        <f t="shared" si="82"/>
        <v>6322.6230709934052</v>
      </c>
      <c r="S139" s="88">
        <f t="shared" si="82"/>
        <v>6272.0244869179542</v>
      </c>
      <c r="T139" s="88">
        <f t="shared" si="82"/>
        <v>6163.1275342338295</v>
      </c>
      <c r="U139" s="88">
        <f t="shared" si="82"/>
        <v>5911.2345830756021</v>
      </c>
      <c r="V139" s="88">
        <f t="shared" si="88"/>
        <v>5544.9448331380927</v>
      </c>
      <c r="W139" s="88">
        <f t="shared" si="83"/>
        <v>5360.1500043407905</v>
      </c>
      <c r="X139" s="88">
        <f t="shared" si="83"/>
        <v>5355.7501274646647</v>
      </c>
      <c r="Y139" s="88">
        <f t="shared" si="83"/>
        <v>5279.8522513514872</v>
      </c>
      <c r="Z139" s="88">
        <f t="shared" si="83"/>
        <v>5076.3579458306485</v>
      </c>
      <c r="AA139" s="88">
        <f t="shared" si="96"/>
        <v>5087.3576380209643</v>
      </c>
      <c r="AB139" s="88">
        <f t="shared" si="96"/>
        <v>5016.9596080029442</v>
      </c>
      <c r="AC139" s="88">
        <f t="shared" si="96"/>
        <v>4823.3650254533895</v>
      </c>
      <c r="AD139" s="88">
        <f t="shared" si="96"/>
        <v>4843.1644713959577</v>
      </c>
      <c r="AE139" s="88">
        <f t="shared" si="96"/>
        <v>4724.3677957405489</v>
      </c>
      <c r="AF139" s="88">
        <f t="shared" si="96"/>
        <v>4542.8728746003417</v>
      </c>
    </row>
    <row r="140" spans="1:32" ht="16.5" hidden="1">
      <c r="G140" s="63">
        <f t="shared" si="85"/>
        <v>216</v>
      </c>
      <c r="H140" s="63">
        <f t="shared" si="97"/>
        <v>18</v>
      </c>
      <c r="I140" s="63">
        <f t="shared" si="97"/>
        <v>12</v>
      </c>
      <c r="J140" s="63" t="str">
        <f t="shared" si="92"/>
        <v>CLU048-1812C4</v>
      </c>
      <c r="K140" s="142">
        <f>K80</f>
        <v>52.781427311320726</v>
      </c>
      <c r="L140" s="88">
        <f t="shared" si="94"/>
        <v>9883.2369550989806</v>
      </c>
      <c r="M140" s="88">
        <f t="shared" ref="M140:O140" si="100">M80</f>
        <v>9784.590916953377</v>
      </c>
      <c r="N140" s="88">
        <f t="shared" si="100"/>
        <v>9521.5348152317674</v>
      </c>
      <c r="O140" s="88">
        <f t="shared" si="100"/>
        <v>9496.325272150114</v>
      </c>
      <c r="P140" s="88">
        <f t="shared" ref="P140" si="101">P80</f>
        <v>9421.7927099956578</v>
      </c>
      <c r="Q140" s="88">
        <f t="shared" si="82"/>
        <v>9328.627007302588</v>
      </c>
      <c r="R140" s="88">
        <f t="shared" si="82"/>
        <v>9220.1163653424228</v>
      </c>
      <c r="S140" s="88">
        <f t="shared" si="82"/>
        <v>9141.1995348259406</v>
      </c>
      <c r="T140" s="88">
        <f t="shared" si="82"/>
        <v>8988.8462092455084</v>
      </c>
      <c r="U140" s="88">
        <f t="shared" si="82"/>
        <v>8619.4715997447474</v>
      </c>
      <c r="V140" s="88">
        <f t="shared" si="88"/>
        <v>8088.9751279395014</v>
      </c>
      <c r="W140" s="88">
        <f t="shared" si="83"/>
        <v>7818.2465565843449</v>
      </c>
      <c r="X140" s="88">
        <f t="shared" si="83"/>
        <v>7805.0937514982643</v>
      </c>
      <c r="Y140" s="88">
        <f t="shared" si="83"/>
        <v>7700.9673779001268</v>
      </c>
      <c r="Z140" s="88">
        <f t="shared" si="83"/>
        <v>7401.7410621917961</v>
      </c>
      <c r="AA140" s="87" t="s">
        <v>128</v>
      </c>
      <c r="AB140" s="87" t="s">
        <v>128</v>
      </c>
      <c r="AC140" s="87" t="s">
        <v>128</v>
      </c>
      <c r="AD140" s="88">
        <f>AD80</f>
        <v>7063.0563312252234</v>
      </c>
      <c r="AE140" s="88">
        <f>AE80</f>
        <v>6892.0698651061766</v>
      </c>
      <c r="AF140" s="88">
        <f>AF80</f>
        <v>6624.6294950225401</v>
      </c>
    </row>
    <row r="141" spans="1:32" ht="16.5" hidden="1">
      <c r="A141" s="103"/>
      <c r="B141" s="127"/>
      <c r="C141" s="127"/>
      <c r="D141" s="127"/>
      <c r="E141" s="127"/>
      <c r="F141" s="127"/>
      <c r="G141" s="63">
        <f t="shared" si="85"/>
        <v>324</v>
      </c>
      <c r="H141" s="63">
        <f t="shared" si="97"/>
        <v>18</v>
      </c>
      <c r="I141" s="63">
        <f t="shared" si="97"/>
        <v>18</v>
      </c>
      <c r="J141" s="63" t="str">
        <f t="shared" si="92"/>
        <v>CLU048-1818C4</v>
      </c>
      <c r="K141" s="142">
        <f>K81</f>
        <v>52.781427311320726</v>
      </c>
      <c r="L141" s="88">
        <f t="shared" si="94"/>
        <v>14426.435045249284</v>
      </c>
      <c r="M141" s="88">
        <f t="shared" ref="M141:O141" si="102">M81</f>
        <v>14280.658122211891</v>
      </c>
      <c r="N141" s="88">
        <f t="shared" si="102"/>
        <v>13894.842506353531</v>
      </c>
      <c r="O141" s="88">
        <f t="shared" si="102"/>
        <v>13863.056560728837</v>
      </c>
      <c r="P141" s="88">
        <f t="shared" ref="P141" si="103">P81</f>
        <v>13752.353784587658</v>
      </c>
      <c r="Q141" s="88">
        <f t="shared" si="82"/>
        <v>13616.441465364827</v>
      </c>
      <c r="R141" s="88">
        <f t="shared" si="82"/>
        <v>13458.607804331861</v>
      </c>
      <c r="S141" s="88">
        <f t="shared" si="82"/>
        <v>13351.193229462204</v>
      </c>
      <c r="T141" s="88">
        <f t="shared" si="82"/>
        <v>13119.923073365289</v>
      </c>
      <c r="U141" s="88">
        <f t="shared" si="82"/>
        <v>12582.850199017003</v>
      </c>
      <c r="V141" s="88">
        <f t="shared" si="88"/>
        <v>11805.738631847746</v>
      </c>
      <c r="W141" s="88">
        <f t="shared" si="83"/>
        <v>11411.154479265331</v>
      </c>
      <c r="X141" s="88">
        <f t="shared" si="83"/>
        <v>11402.385942541277</v>
      </c>
      <c r="Y141" s="88">
        <f t="shared" si="83"/>
        <v>11241.264080236791</v>
      </c>
      <c r="Z141" s="88">
        <f t="shared" si="83"/>
        <v>10807.221512396136</v>
      </c>
      <c r="AA141" s="87" t="s">
        <v>128</v>
      </c>
      <c r="AB141" s="87" t="s">
        <v>128</v>
      </c>
      <c r="AC141" s="87" t="s">
        <v>128</v>
      </c>
      <c r="AD141" s="87" t="s">
        <v>128</v>
      </c>
      <c r="AE141" s="87" t="s">
        <v>128</v>
      </c>
      <c r="AF141" s="87" t="s">
        <v>128</v>
      </c>
    </row>
    <row r="142" spans="1:32" ht="16.5" hidden="1">
      <c r="A142" s="103"/>
      <c r="B142" s="127"/>
      <c r="C142" s="127"/>
      <c r="D142" s="127"/>
      <c r="E142" s="127"/>
      <c r="F142" s="127"/>
      <c r="G142" s="63">
        <f t="shared" si="85"/>
        <v>450</v>
      </c>
      <c r="H142" s="63">
        <f t="shared" si="97"/>
        <v>18</v>
      </c>
      <c r="I142" s="63">
        <f t="shared" si="97"/>
        <v>25</v>
      </c>
      <c r="J142" s="63" t="str">
        <f t="shared" si="92"/>
        <v>CLU058-1825C4</v>
      </c>
      <c r="K142" s="143">
        <f>K82</f>
        <v>52.729707597606406</v>
      </c>
      <c r="L142" s="88">
        <f t="shared" si="94"/>
        <v>21041.438871274338</v>
      </c>
      <c r="M142" s="88">
        <f t="shared" ref="M142:O142" si="104">M82</f>
        <v>20829.648939707087</v>
      </c>
      <c r="N142" s="88">
        <f t="shared" si="104"/>
        <v>20267.423090443503</v>
      </c>
      <c r="O142" s="88">
        <f t="shared" si="104"/>
        <v>20218.296559925326</v>
      </c>
      <c r="P142" s="88">
        <f t="shared" ref="P142" si="105">P82</f>
        <v>20057.816560232615</v>
      </c>
      <c r="Q142" s="88">
        <f t="shared" si="82"/>
        <v>19859.127036803544</v>
      </c>
      <c r="R142" s="88">
        <f t="shared" si="82"/>
        <v>19628.778193707203</v>
      </c>
      <c r="S142" s="88">
        <f t="shared" si="82"/>
        <v>19471.573296049035</v>
      </c>
      <c r="T142" s="88">
        <f t="shared" si="82"/>
        <v>19135.329487169067</v>
      </c>
      <c r="U142" s="88">
        <f t="shared" si="82"/>
        <v>18352.580100912779</v>
      </c>
      <c r="V142" s="88">
        <f t="shared" si="88"/>
        <v>17219.394796960161</v>
      </c>
      <c r="W142" s="88">
        <f t="shared" si="83"/>
        <v>16645.160240236579</v>
      </c>
      <c r="X142" s="88">
        <f t="shared" si="83"/>
        <v>16629.876430742035</v>
      </c>
      <c r="Y142" s="88">
        <f t="shared" si="83"/>
        <v>16395.160784932967</v>
      </c>
      <c r="Z142" s="88">
        <f t="shared" si="83"/>
        <v>15760.882690909391</v>
      </c>
      <c r="AA142" s="87" t="s">
        <v>128</v>
      </c>
      <c r="AB142" s="87" t="s">
        <v>128</v>
      </c>
      <c r="AC142" s="87" t="s">
        <v>128</v>
      </c>
      <c r="AD142" s="87" t="s">
        <v>128</v>
      </c>
      <c r="AE142" s="87" t="s">
        <v>128</v>
      </c>
      <c r="AF142" s="87" t="s">
        <v>128</v>
      </c>
    </row>
    <row r="143" spans="1:32" ht="16.5" hidden="1">
      <c r="A143" s="103"/>
      <c r="B143" s="127"/>
      <c r="C143" s="127"/>
      <c r="D143" s="127"/>
      <c r="E143" s="127"/>
      <c r="F143" s="127"/>
      <c r="G143" s="63">
        <f t="shared" ref="G143" si="106">H143*I143</f>
        <v>648</v>
      </c>
      <c r="H143" s="63">
        <f t="shared" si="97"/>
        <v>36</v>
      </c>
      <c r="I143" s="63">
        <f t="shared" si="97"/>
        <v>18</v>
      </c>
      <c r="J143" s="63" t="str">
        <f t="shared" si="92"/>
        <v>CLU058-3618C4</v>
      </c>
      <c r="K143" s="142">
        <f>K83</f>
        <v>105.30918466195477</v>
      </c>
      <c r="L143" s="88">
        <f t="shared" si="94"/>
        <v>29003.959418302577</v>
      </c>
      <c r="M143" s="88">
        <f t="shared" ref="M143:O143" si="107">M83</f>
        <v>28636.710336056927</v>
      </c>
      <c r="N143" s="88">
        <f t="shared" si="107"/>
        <v>27860.801295822796</v>
      </c>
      <c r="O143" s="88">
        <f t="shared" si="107"/>
        <v>27868.429615038582</v>
      </c>
      <c r="P143" s="88">
        <f t="shared" ref="P143" si="108">P83</f>
        <v>27648.298117668786</v>
      </c>
      <c r="Q143" s="88">
        <f t="shared" si="82"/>
        <v>27374.768385788495</v>
      </c>
      <c r="R143" s="88">
        <f t="shared" si="82"/>
        <v>26986.813865671425</v>
      </c>
      <c r="S143" s="88">
        <f t="shared" si="82"/>
        <v>26766.68236830163</v>
      </c>
      <c r="T143" s="88">
        <f t="shared" si="82"/>
        <v>26303.534415914684</v>
      </c>
      <c r="U143" s="88">
        <f t="shared" si="82"/>
        <v>25184.351010970226</v>
      </c>
      <c r="V143" s="88">
        <f t="shared" si="88"/>
        <v>23675.033566132763</v>
      </c>
      <c r="W143" s="88">
        <f t="shared" si="83"/>
        <v>22882.778127579091</v>
      </c>
      <c r="X143" s="88">
        <f t="shared" si="83"/>
        <v>22857.713650155798</v>
      </c>
      <c r="Y143" s="88">
        <f t="shared" si="83"/>
        <v>22537.324243092829</v>
      </c>
      <c r="Z143" s="88">
        <f t="shared" si="83"/>
        <v>21628.464496526442</v>
      </c>
      <c r="AA143" s="87" t="s">
        <v>128</v>
      </c>
      <c r="AB143" s="87" t="s">
        <v>128</v>
      </c>
      <c r="AC143" s="87" t="s">
        <v>128</v>
      </c>
      <c r="AD143" s="87" t="s">
        <v>128</v>
      </c>
      <c r="AE143" s="87" t="s">
        <v>128</v>
      </c>
      <c r="AF143" s="87" t="s">
        <v>128</v>
      </c>
    </row>
    <row r="144" spans="1:32" ht="16.5" hidden="1">
      <c r="A144" s="103"/>
      <c r="B144" s="127"/>
      <c r="C144" s="127"/>
      <c r="D144" s="127"/>
      <c r="E144" s="127"/>
      <c r="F144" s="127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:25" ht="16.5" hidden="1">
      <c r="A145" s="103"/>
      <c r="B145" s="127"/>
      <c r="C145" s="127"/>
      <c r="D145" s="127"/>
      <c r="E145" s="127"/>
      <c r="F145" s="127"/>
      <c r="G145" s="63"/>
      <c r="H145" s="63"/>
      <c r="I145" s="63"/>
      <c r="J145" s="63"/>
      <c r="K145" s="63"/>
      <c r="L145" s="63"/>
      <c r="M145" s="63"/>
      <c r="N145" s="63"/>
      <c r="O145" s="63"/>
      <c r="P145" s="109">
        <v>0.92</v>
      </c>
      <c r="Q145" s="109">
        <v>1.08</v>
      </c>
      <c r="R145" s="63"/>
      <c r="S145" s="63"/>
      <c r="T145" s="63"/>
      <c r="U145" s="63"/>
      <c r="V145" s="63"/>
      <c r="W145" s="63"/>
    </row>
    <row r="146" spans="1:25" ht="16.5" hidden="1">
      <c r="A146" s="103"/>
      <c r="B146" s="127"/>
      <c r="C146" s="127"/>
      <c r="D146" s="63"/>
      <c r="E146" s="63"/>
      <c r="G146" s="63"/>
      <c r="H146" s="63" t="s">
        <v>53</v>
      </c>
      <c r="I146" s="63"/>
      <c r="J146" s="63"/>
      <c r="K146" s="103" t="str">
        <f>HLOOKUP(Simulator!$C$6,Calculation!L$128:X$143,2,FALSE)</f>
        <v>5000K,80Min</v>
      </c>
      <c r="L146" s="103" t="s">
        <v>55</v>
      </c>
      <c r="M146" s="103" t="s">
        <v>29</v>
      </c>
      <c r="N146" s="120" t="s">
        <v>52</v>
      </c>
      <c r="O146" s="103" t="s">
        <v>76</v>
      </c>
      <c r="P146" s="119" t="s">
        <v>72</v>
      </c>
      <c r="Q146" s="119" t="s">
        <v>74</v>
      </c>
      <c r="R146" s="120" t="s">
        <v>57</v>
      </c>
      <c r="S146" s="118" t="s">
        <v>34</v>
      </c>
      <c r="T146" s="118"/>
      <c r="U146" s="118" t="s">
        <v>28</v>
      </c>
      <c r="V146" s="103" t="s">
        <v>58</v>
      </c>
      <c r="W146" s="103" t="s">
        <v>171</v>
      </c>
      <c r="X146" s="118" t="s">
        <v>8</v>
      </c>
      <c r="Y146" s="63"/>
    </row>
    <row r="147" spans="1:25" ht="16.5" hidden="1">
      <c r="A147" s="103"/>
      <c r="B147" s="127"/>
      <c r="C147" s="127"/>
      <c r="D147" s="63"/>
      <c r="E147" s="63"/>
      <c r="G147" s="63"/>
      <c r="H147" s="114">
        <f t="shared" ref="H147:H160" si="109">K147/G130</f>
        <v>45.054163902577024</v>
      </c>
      <c r="I147" s="63"/>
      <c r="J147" s="63" t="str">
        <f t="shared" ref="J147:J154" si="110">B2</f>
        <v>CLU028-1201C4</v>
      </c>
      <c r="K147" s="121">
        <f>HLOOKUP(Simulator!$C$6,Calculation!L$128:AF$143,3,FALSE)</f>
        <v>540.64996683092431</v>
      </c>
      <c r="L147" s="123">
        <f t="shared" ref="L147:L160" si="111">E$133/I130</f>
        <v>1400</v>
      </c>
      <c r="M147" s="123">
        <f t="shared" ref="M147:M160" si="112">(B$129*$L147^3+B$130*$L147^2+B$131*$L147+B$132)*K147</f>
        <v>11137.029183937811</v>
      </c>
      <c r="N147" s="125">
        <f>($E$129*$E$135^3+$E$130*$E$135^2+$E$131*$E$135+$E$132)*M147</f>
        <v>11137.029183789231</v>
      </c>
      <c r="O147" s="123">
        <f t="shared" ref="O147:O160" si="113">(D$129*$L147^2+D$130*$L147+D$131)*K130</f>
        <v>-19.288217239187187</v>
      </c>
      <c r="P147" s="124">
        <f>R147*$P$145</f>
        <v>-17.745159859685977</v>
      </c>
      <c r="Q147" s="124">
        <f>R147*$Q$145</f>
        <v>-20.831274617892234</v>
      </c>
      <c r="R147" s="125">
        <f t="shared" ref="R147:R160" si="114">(F$129*$E$135^2+F$130*$E$135+F$131)*O147</f>
        <v>-19.288217238789105</v>
      </c>
      <c r="S147" s="126">
        <f t="shared" ref="S147:S160" si="115">(L147*I70)*R147/1000</f>
        <v>-27.003504134304748</v>
      </c>
      <c r="T147" s="126"/>
      <c r="U147" s="126">
        <f t="shared" ref="U147" si="116">N147/S147</f>
        <v>-412.42903618723159</v>
      </c>
      <c r="V147" s="63">
        <f t="shared" ref="V147:V154" si="117">V87</f>
        <v>2.6</v>
      </c>
      <c r="W147" s="114">
        <f t="shared" ref="W147" si="118">S147*V147</f>
        <v>-70.209110749192348</v>
      </c>
      <c r="X147" s="126">
        <f t="shared" ref="X147:X160" si="119">E$135+W147</f>
        <v>-45.209110749192348</v>
      </c>
      <c r="Y147" s="63"/>
    </row>
    <row r="148" spans="1:25" ht="16.5" hidden="1">
      <c r="A148" s="63"/>
      <c r="B148" s="63"/>
      <c r="C148" s="63"/>
      <c r="D148" s="63"/>
      <c r="E148" s="113"/>
      <c r="G148" s="63"/>
      <c r="H148" s="114">
        <f t="shared" si="109"/>
        <v>44.273171027732424</v>
      </c>
      <c r="I148" s="63"/>
      <c r="J148" s="63" t="str">
        <f t="shared" si="110"/>
        <v>CLU028-1202C4</v>
      </c>
      <c r="K148" s="121">
        <f>HLOOKUP(Simulator!$C$6,Calculation!L$128:AF$143,4,FALSE)</f>
        <v>1062.5561046655782</v>
      </c>
      <c r="L148" s="123">
        <f t="shared" si="111"/>
        <v>700</v>
      </c>
      <c r="M148" s="123">
        <f t="shared" si="112"/>
        <v>6292.2541596213832</v>
      </c>
      <c r="N148" s="125">
        <f t="shared" ref="N148:N159" si="120">($E$129*$E$135^3+$E$130*$E$135^2+$E$131*$E$135+$E$132)*M148</f>
        <v>6292.2541595374378</v>
      </c>
      <c r="O148" s="123">
        <f t="shared" si="113"/>
        <v>35.287634986267072</v>
      </c>
      <c r="P148" s="124">
        <f t="shared" ref="P148:P160" si="121">R148*$P$145</f>
        <v>32.464624186695687</v>
      </c>
      <c r="Q148" s="124">
        <f t="shared" ref="Q148:Q160" si="122">R148*$Q$145</f>
        <v>38.110645784381894</v>
      </c>
      <c r="R148" s="125">
        <f t="shared" si="114"/>
        <v>35.287634985538787</v>
      </c>
      <c r="S148" s="126">
        <f t="shared" si="115"/>
        <v>49.402688979754302</v>
      </c>
      <c r="T148" s="126"/>
      <c r="U148" s="126">
        <f t="shared" ref="U148:U159" si="123">N148/S148</f>
        <v>127.36663306153363</v>
      </c>
      <c r="V148" s="63">
        <f t="shared" si="117"/>
        <v>1.5</v>
      </c>
      <c r="W148" s="114">
        <f t="shared" ref="W148:W159" si="124">S148*V148</f>
        <v>74.104033469631446</v>
      </c>
      <c r="X148" s="126">
        <f t="shared" si="119"/>
        <v>99.104033469631446</v>
      </c>
      <c r="Y148" s="63"/>
    </row>
    <row r="149" spans="1:25" ht="16.5" hidden="1">
      <c r="A149" s="63"/>
      <c r="B149" s="108"/>
      <c r="C149" s="108"/>
      <c r="D149" s="63"/>
      <c r="E149" s="63"/>
      <c r="G149" s="63"/>
      <c r="H149" s="114">
        <f t="shared" si="109"/>
        <v>43.473794328620592</v>
      </c>
      <c r="I149" s="63"/>
      <c r="J149" s="63" t="str">
        <f t="shared" si="110"/>
        <v>CLU028-1203C4</v>
      </c>
      <c r="K149" s="121">
        <f>HLOOKUP(Simulator!$C$6,Calculation!L$128:AF$143,5,FALSE)</f>
        <v>1565.0565958303414</v>
      </c>
      <c r="L149" s="123">
        <f t="shared" si="111"/>
        <v>466.66666666666669</v>
      </c>
      <c r="M149" s="123">
        <f t="shared" si="112"/>
        <v>6266.1979150435473</v>
      </c>
      <c r="N149" s="125">
        <f t="shared" si="120"/>
        <v>6266.1979149599492</v>
      </c>
      <c r="O149" s="123">
        <f t="shared" si="113"/>
        <v>40.492981149492543</v>
      </c>
      <c r="P149" s="124">
        <f t="shared" si="121"/>
        <v>37.253542656764282</v>
      </c>
      <c r="Q149" s="124">
        <f t="shared" si="122"/>
        <v>43.732419640549374</v>
      </c>
      <c r="R149" s="125">
        <f t="shared" si="114"/>
        <v>40.492981148656824</v>
      </c>
      <c r="S149" s="126">
        <f t="shared" si="115"/>
        <v>56.690173608119558</v>
      </c>
      <c r="T149" s="126"/>
      <c r="U149" s="126">
        <f t="shared" si="123"/>
        <v>110.53411051933101</v>
      </c>
      <c r="V149" s="63">
        <f t="shared" si="117"/>
        <v>1</v>
      </c>
      <c r="W149" s="114">
        <f t="shared" si="124"/>
        <v>56.690173608119558</v>
      </c>
      <c r="X149" s="126">
        <f t="shared" si="119"/>
        <v>81.690173608119551</v>
      </c>
      <c r="Y149" s="63"/>
    </row>
    <row r="150" spans="1:25" ht="16.5" hidden="1">
      <c r="A150" s="63"/>
      <c r="B150" s="114"/>
      <c r="C150" s="134"/>
      <c r="D150" s="63"/>
      <c r="E150" s="135"/>
      <c r="G150" s="63"/>
      <c r="H150" s="114">
        <f t="shared" si="109"/>
        <v>42.519628890398572</v>
      </c>
      <c r="I150" s="63"/>
      <c r="J150" s="63" t="str">
        <f t="shared" si="110"/>
        <v>CLU028-1204C4</v>
      </c>
      <c r="K150" s="121">
        <f>HLOOKUP(Simulator!$C$6,Calculation!L$128:AF$143,6,FALSE)</f>
        <v>2040.9421867391316</v>
      </c>
      <c r="L150" s="123">
        <f t="shared" si="111"/>
        <v>350</v>
      </c>
      <c r="M150" s="123">
        <f t="shared" si="112"/>
        <v>6467.0719348994462</v>
      </c>
      <c r="N150" s="125">
        <f t="shared" si="120"/>
        <v>6467.0719348131679</v>
      </c>
      <c r="O150" s="123">
        <f t="shared" si="113"/>
        <v>40.631182057891948</v>
      </c>
      <c r="P150" s="124">
        <f t="shared" si="121"/>
        <v>37.380687492489109</v>
      </c>
      <c r="Q150" s="124">
        <f t="shared" si="122"/>
        <v>43.88167662161765</v>
      </c>
      <c r="R150" s="125">
        <f t="shared" si="114"/>
        <v>40.63118205705338</v>
      </c>
      <c r="S150" s="126">
        <f t="shared" si="115"/>
        <v>56.883654879874733</v>
      </c>
      <c r="T150" s="126"/>
      <c r="U150" s="126">
        <f t="shared" si="123"/>
        <v>113.68945874645615</v>
      </c>
      <c r="V150" s="63">
        <f t="shared" si="117"/>
        <v>0.86</v>
      </c>
      <c r="W150" s="114">
        <f t="shared" si="124"/>
        <v>48.919943196692273</v>
      </c>
      <c r="X150" s="126">
        <f t="shared" si="119"/>
        <v>73.919943196692273</v>
      </c>
      <c r="Y150" s="63"/>
    </row>
    <row r="151" spans="1:25" ht="16.5" hidden="1">
      <c r="A151" s="63"/>
      <c r="B151" s="109"/>
      <c r="C151" s="117"/>
      <c r="D151" s="63"/>
      <c r="E151" s="63"/>
      <c r="F151" s="63"/>
      <c r="G151" s="63"/>
      <c r="H151" s="114">
        <f t="shared" si="109"/>
        <v>44.399038288918227</v>
      </c>
      <c r="I151" s="63"/>
      <c r="J151" s="63" t="str">
        <f t="shared" si="110"/>
        <v>CLU038-1205C4</v>
      </c>
      <c r="K151" s="121">
        <f>HLOOKUP(Simulator!$C$6,Calculation!L$128:AF$143,7,FALSE)</f>
        <v>2663.9422973350938</v>
      </c>
      <c r="L151" s="123">
        <f t="shared" si="111"/>
        <v>280</v>
      </c>
      <c r="M151" s="123">
        <f t="shared" si="112"/>
        <v>7063.9205844036042</v>
      </c>
      <c r="N151" s="125">
        <f t="shared" si="120"/>
        <v>7063.9205843093632</v>
      </c>
      <c r="O151" s="123">
        <f t="shared" si="113"/>
        <v>39.956566168557458</v>
      </c>
      <c r="P151" s="124">
        <f t="shared" si="121"/>
        <v>36.760040874314186</v>
      </c>
      <c r="Q151" s="124">
        <f t="shared" si="122"/>
        <v>43.15309146115144</v>
      </c>
      <c r="R151" s="125">
        <f t="shared" si="114"/>
        <v>39.956566167732809</v>
      </c>
      <c r="S151" s="126">
        <f t="shared" si="115"/>
        <v>55.939192634825936</v>
      </c>
      <c r="T151" s="126"/>
      <c r="U151" s="126">
        <f t="shared" si="123"/>
        <v>126.2785580482546</v>
      </c>
      <c r="V151" s="63">
        <f t="shared" si="117"/>
        <v>0.68</v>
      </c>
      <c r="W151" s="114">
        <f t="shared" si="124"/>
        <v>38.038650991681642</v>
      </c>
      <c r="X151" s="126">
        <f t="shared" si="119"/>
        <v>63.038650991681642</v>
      </c>
      <c r="Y151" s="63"/>
    </row>
    <row r="152" spans="1:25" ht="16.5" hidden="1">
      <c r="A152" s="63"/>
      <c r="B152" s="63"/>
      <c r="C152" s="63"/>
      <c r="D152" s="63"/>
      <c r="E152" s="63"/>
      <c r="F152" s="63"/>
      <c r="G152" s="63"/>
      <c r="H152" s="114">
        <f t="shared" si="109"/>
        <v>43.858057380395884</v>
      </c>
      <c r="I152" s="63"/>
      <c r="J152" s="63" t="str">
        <f t="shared" si="110"/>
        <v>CLU038-1206C4</v>
      </c>
      <c r="K152" s="121">
        <f>HLOOKUP(Simulator!$C$6,Calculation!L$128:AF$143,8,FALSE)</f>
        <v>3157.7801313885038</v>
      </c>
      <c r="L152" s="123">
        <f t="shared" si="111"/>
        <v>233.33333333333334</v>
      </c>
      <c r="M152" s="123">
        <f t="shared" si="112"/>
        <v>7223.5394470908668</v>
      </c>
      <c r="N152" s="125">
        <f t="shared" si="120"/>
        <v>7223.5394469944968</v>
      </c>
      <c r="O152" s="123">
        <f t="shared" si="113"/>
        <v>39.1632305817309</v>
      </c>
      <c r="P152" s="124">
        <f t="shared" si="121"/>
        <v>36.030172134448819</v>
      </c>
      <c r="Q152" s="124">
        <f t="shared" si="122"/>
        <v>42.29628902739644</v>
      </c>
      <c r="R152" s="125">
        <f t="shared" si="114"/>
        <v>39.16323058092263</v>
      </c>
      <c r="S152" s="126">
        <f t="shared" si="115"/>
        <v>54.828522813291684</v>
      </c>
      <c r="T152" s="126"/>
      <c r="U152" s="126">
        <f t="shared" si="123"/>
        <v>131.74783992618066</v>
      </c>
      <c r="V152" s="63">
        <f t="shared" si="117"/>
        <v>0.61</v>
      </c>
      <c r="W152" s="114">
        <f t="shared" si="124"/>
        <v>33.445398916107926</v>
      </c>
      <c r="X152" s="126">
        <f t="shared" si="119"/>
        <v>58.445398916107926</v>
      </c>
      <c r="Y152" s="63"/>
    </row>
    <row r="153" spans="1:25" ht="16.5" hidden="1">
      <c r="A153" s="63"/>
      <c r="B153" s="63"/>
      <c r="C153" s="63"/>
      <c r="D153" s="63"/>
      <c r="E153" s="63"/>
      <c r="F153" s="63"/>
      <c r="G153" s="63"/>
      <c r="H153" s="114">
        <f t="shared" si="109"/>
        <v>42.956089605722063</v>
      </c>
      <c r="I153" s="63"/>
      <c r="J153" s="63" t="str">
        <f t="shared" si="110"/>
        <v>CLU038-1208C4</v>
      </c>
      <c r="K153" s="121">
        <f>HLOOKUP(Simulator!$C$6,Calculation!L$128:AF$143,9,FALSE)</f>
        <v>4123.7846021493178</v>
      </c>
      <c r="L153" s="123">
        <f t="shared" si="111"/>
        <v>175</v>
      </c>
      <c r="M153" s="123">
        <f t="shared" si="112"/>
        <v>7421.1456174038349</v>
      </c>
      <c r="N153" s="125">
        <f t="shared" si="120"/>
        <v>7421.1456173048282</v>
      </c>
      <c r="O153" s="123">
        <f t="shared" si="113"/>
        <v>37.81732206785825</v>
      </c>
      <c r="P153" s="124">
        <f t="shared" si="121"/>
        <v>34.791936301711537</v>
      </c>
      <c r="Q153" s="124">
        <f t="shared" si="122"/>
        <v>40.842707832443978</v>
      </c>
      <c r="R153" s="125">
        <f t="shared" si="114"/>
        <v>37.817322067077754</v>
      </c>
      <c r="S153" s="126">
        <f t="shared" si="115"/>
        <v>52.944250893908858</v>
      </c>
      <c r="T153" s="126"/>
      <c r="U153" s="126">
        <f t="shared" si="123"/>
        <v>140.16905503442712</v>
      </c>
      <c r="V153" s="63">
        <f t="shared" si="117"/>
        <v>0.48</v>
      </c>
      <c r="W153" s="114">
        <f t="shared" si="124"/>
        <v>25.41324042907625</v>
      </c>
      <c r="X153" s="126">
        <f t="shared" si="119"/>
        <v>50.413240429076254</v>
      </c>
      <c r="Y153" s="63"/>
    </row>
    <row r="154" spans="1:25" ht="16.5" hidden="1">
      <c r="A154" s="63"/>
      <c r="B154" s="63"/>
      <c r="C154" s="63"/>
      <c r="D154" s="63"/>
      <c r="E154" s="63"/>
      <c r="F154" s="63"/>
      <c r="G154" s="63"/>
      <c r="H154" s="114">
        <f t="shared" si="109"/>
        <v>42.628943593228456</v>
      </c>
      <c r="I154" s="63"/>
      <c r="J154" s="63" t="str">
        <f t="shared" si="110"/>
        <v>CLU038-1210C4</v>
      </c>
      <c r="K154" s="121">
        <f>HLOOKUP(Simulator!$C$6,Calculation!L$128:AF$143,10,FALSE)</f>
        <v>5115.473231187415</v>
      </c>
      <c r="L154" s="123">
        <f t="shared" si="111"/>
        <v>140</v>
      </c>
      <c r="M154" s="123">
        <f t="shared" si="112"/>
        <v>7595.0919979456849</v>
      </c>
      <c r="N154" s="125">
        <f t="shared" si="120"/>
        <v>7595.091997844358</v>
      </c>
      <c r="O154" s="123">
        <f t="shared" si="113"/>
        <v>36.812412095555501</v>
      </c>
      <c r="P154" s="124">
        <f t="shared" si="121"/>
        <v>33.867419127212088</v>
      </c>
      <c r="Q154" s="124">
        <f t="shared" si="122"/>
        <v>39.757405062379412</v>
      </c>
      <c r="R154" s="125">
        <f t="shared" si="114"/>
        <v>36.812412094795746</v>
      </c>
      <c r="S154" s="126">
        <f t="shared" si="115"/>
        <v>51.537376932714047</v>
      </c>
      <c r="T154" s="126"/>
      <c r="U154" s="126">
        <f t="shared" si="123"/>
        <v>147.37055802743564</v>
      </c>
      <c r="V154" s="63">
        <f t="shared" si="117"/>
        <v>0.4</v>
      </c>
      <c r="W154" s="114">
        <f t="shared" si="124"/>
        <v>20.614950773085621</v>
      </c>
      <c r="X154" s="126">
        <f t="shared" si="119"/>
        <v>45.614950773085624</v>
      </c>
      <c r="Y154" s="63"/>
    </row>
    <row r="155" spans="1:25" ht="16.5" hidden="1">
      <c r="A155" s="63"/>
      <c r="B155" s="63"/>
      <c r="C155" s="63"/>
      <c r="D155" s="63"/>
      <c r="E155" s="63"/>
      <c r="F155" s="63"/>
      <c r="G155" s="63"/>
      <c r="H155" s="114">
        <f t="shared" si="109"/>
        <v>44.376479734447585</v>
      </c>
      <c r="I155" s="63"/>
      <c r="J155" s="63" t="str">
        <f t="shared" ref="J155:J160" si="125">B10</f>
        <v>CLU048-1211C4</v>
      </c>
      <c r="K155" s="121">
        <f>HLOOKUP(Simulator!$C$6,Calculation!L$128:AF$143,11,FALSE)</f>
        <v>5857.6953249470816</v>
      </c>
      <c r="L155" s="123">
        <f t="shared" si="111"/>
        <v>127.27272727272727</v>
      </c>
      <c r="M155" s="123">
        <f t="shared" ref="M155" si="126">(B$129*$L155^3+B$130*$L155^2+B$131*$L155+B$132)*K155</f>
        <v>7998.5090012244445</v>
      </c>
      <c r="N155" s="125">
        <f t="shared" ref="N155" si="127">($E$129*$E$135^3+$E$130*$E$135^2+$E$131*$E$135+$E$132)*M155</f>
        <v>7998.5090011177354</v>
      </c>
      <c r="O155" s="123">
        <f t="shared" si="113"/>
        <v>36.417166713069321</v>
      </c>
      <c r="P155" s="124">
        <f t="shared" ref="P155" si="128">R155*$P$145</f>
        <v>33.503793375332307</v>
      </c>
      <c r="Q155" s="124">
        <f t="shared" ref="Q155" si="129">R155*$Q$145</f>
        <v>39.330540049303146</v>
      </c>
      <c r="R155" s="125">
        <f t="shared" ref="R155" si="130">(F$129*$E$135^2+F$130*$E$135+F$131)*O155</f>
        <v>36.417166712317723</v>
      </c>
      <c r="S155" s="126">
        <f t="shared" si="115"/>
        <v>50.984033397244815</v>
      </c>
      <c r="T155" s="126"/>
      <c r="U155" s="126">
        <f t="shared" ref="U155" si="131">N155/S155</f>
        <v>156.88262517005913</v>
      </c>
      <c r="V155" s="63">
        <f t="shared" ref="V155:V160" si="132">V95</f>
        <v>0.36</v>
      </c>
      <c r="W155" s="114">
        <f t="shared" ref="W155" si="133">S155*V155</f>
        <v>18.354252023008133</v>
      </c>
      <c r="X155" s="126">
        <f t="shared" ref="X155" si="134">E$135+W155</f>
        <v>43.354252023008129</v>
      </c>
      <c r="Y155" s="63"/>
    </row>
    <row r="156" spans="1:25" ht="16.5" hidden="1">
      <c r="A156" s="63"/>
      <c r="B156" s="63"/>
      <c r="C156" s="63"/>
      <c r="D156" s="63"/>
      <c r="E156" s="63"/>
      <c r="F156" s="63"/>
      <c r="G156" s="63"/>
      <c r="H156" s="114">
        <f t="shared" si="109"/>
        <v>44.418895893531392</v>
      </c>
      <c r="I156" s="63"/>
      <c r="J156" s="63" t="str">
        <f t="shared" si="125"/>
        <v>CLU048-1212C4</v>
      </c>
      <c r="K156" s="121">
        <f>HLOOKUP(Simulator!$C$6,Calculation!L$128:AF$143,12,FALSE)</f>
        <v>6396.3210086685203</v>
      </c>
      <c r="L156" s="123">
        <f t="shared" si="111"/>
        <v>116.66666666666667</v>
      </c>
      <c r="M156" s="123">
        <f t="shared" si="112"/>
        <v>8084.9617996415982</v>
      </c>
      <c r="N156" s="125">
        <f t="shared" si="120"/>
        <v>8084.9617995337358</v>
      </c>
      <c r="O156" s="123">
        <f t="shared" si="113"/>
        <v>36.078421285944493</v>
      </c>
      <c r="P156" s="124">
        <f t="shared" si="121"/>
        <v>33.192147582383896</v>
      </c>
      <c r="Q156" s="124">
        <f t="shared" si="122"/>
        <v>38.964694988015879</v>
      </c>
      <c r="R156" s="125">
        <f t="shared" si="114"/>
        <v>36.078421285199887</v>
      </c>
      <c r="S156" s="126">
        <f t="shared" si="115"/>
        <v>50.509789799279837</v>
      </c>
      <c r="T156" s="126"/>
      <c r="U156" s="126">
        <f t="shared" si="123"/>
        <v>160.06722323855345</v>
      </c>
      <c r="V156" s="63">
        <f t="shared" si="132"/>
        <v>0.32</v>
      </c>
      <c r="W156" s="114">
        <f t="shared" si="124"/>
        <v>16.163132735769548</v>
      </c>
      <c r="X156" s="126">
        <f t="shared" si="119"/>
        <v>41.163132735769551</v>
      </c>
      <c r="Y156" s="63"/>
    </row>
    <row r="157" spans="1:25" ht="16.5" hidden="1">
      <c r="A157" s="63"/>
      <c r="B157" s="63"/>
      <c r="C157" s="63"/>
      <c r="D157" s="63"/>
      <c r="E157" s="63"/>
      <c r="F157" s="63"/>
      <c r="G157" s="63"/>
      <c r="H157" s="114">
        <f t="shared" si="109"/>
        <v>43.188087996771237</v>
      </c>
      <c r="I157" s="63"/>
      <c r="J157" s="63" t="str">
        <f t="shared" si="125"/>
        <v>CLU048-1812C4</v>
      </c>
      <c r="K157" s="121">
        <f>HLOOKUP(Simulator!$C$6,Calculation!L$128:AF$143,13,FALSE)</f>
        <v>9328.627007302588</v>
      </c>
      <c r="L157" s="123">
        <f t="shared" si="111"/>
        <v>116.66666666666667</v>
      </c>
      <c r="M157" s="123">
        <f t="shared" si="112"/>
        <v>11791.40210363619</v>
      </c>
      <c r="N157" s="125">
        <f t="shared" si="120"/>
        <v>11791.40210347888</v>
      </c>
      <c r="O157" s="123">
        <f t="shared" si="113"/>
        <v>54.177759154811334</v>
      </c>
      <c r="P157" s="124">
        <f t="shared" si="121"/>
        <v>49.843538421397731</v>
      </c>
      <c r="Q157" s="124">
        <f t="shared" si="122"/>
        <v>58.511979885988637</v>
      </c>
      <c r="R157" s="125">
        <f t="shared" si="114"/>
        <v>54.177759153693181</v>
      </c>
      <c r="S157" s="126">
        <f t="shared" si="115"/>
        <v>75.848862815170449</v>
      </c>
      <c r="T157" s="126"/>
      <c r="U157" s="126">
        <f t="shared" si="123"/>
        <v>155.45918113778885</v>
      </c>
      <c r="V157" s="63">
        <f t="shared" si="132"/>
        <v>0.24</v>
      </c>
      <c r="W157" s="114">
        <f t="shared" si="124"/>
        <v>18.203727075640906</v>
      </c>
      <c r="X157" s="126">
        <f t="shared" si="119"/>
        <v>43.203727075640906</v>
      </c>
      <c r="Y157" s="144"/>
    </row>
    <row r="158" spans="1:25" ht="16.5" hidden="1">
      <c r="A158" s="63"/>
      <c r="B158" s="63"/>
      <c r="C158" s="63"/>
      <c r="D158" s="63"/>
      <c r="E158" s="63"/>
      <c r="F158" s="63"/>
      <c r="G158" s="63"/>
      <c r="H158" s="114">
        <f t="shared" si="109"/>
        <v>42.026053905447</v>
      </c>
      <c r="I158" s="63"/>
      <c r="J158" s="63" t="str">
        <f t="shared" si="125"/>
        <v>CLU048-1818C4</v>
      </c>
      <c r="K158" s="121">
        <f>HLOOKUP(Simulator!$C$6,Calculation!L$128:AF$143,14,FALSE)</f>
        <v>13616.441465364827</v>
      </c>
      <c r="L158" s="123">
        <f t="shared" si="111"/>
        <v>77.777777777777771</v>
      </c>
      <c r="M158" s="123">
        <f t="shared" si="112"/>
        <v>11907.768425937527</v>
      </c>
      <c r="N158" s="125">
        <f t="shared" si="120"/>
        <v>11907.768425778664</v>
      </c>
      <c r="O158" s="123">
        <f t="shared" si="113"/>
        <v>52.098953917234837</v>
      </c>
      <c r="P158" s="124">
        <f t="shared" si="121"/>
        <v>47.931037602866823</v>
      </c>
      <c r="Q158" s="124">
        <f t="shared" si="122"/>
        <v>56.266870229452358</v>
      </c>
      <c r="R158" s="125">
        <f t="shared" si="114"/>
        <v>52.098953916159587</v>
      </c>
      <c r="S158" s="126">
        <f t="shared" si="115"/>
        <v>72.938535482623422</v>
      </c>
      <c r="T158" s="126"/>
      <c r="U158" s="126">
        <f t="shared" si="123"/>
        <v>163.25757498401543</v>
      </c>
      <c r="V158" s="63">
        <f t="shared" si="132"/>
        <v>0.16</v>
      </c>
      <c r="W158" s="114">
        <f t="shared" si="124"/>
        <v>11.670165677219748</v>
      </c>
      <c r="X158" s="126">
        <f t="shared" si="119"/>
        <v>36.67016567721975</v>
      </c>
      <c r="Y158" s="63"/>
    </row>
    <row r="159" spans="1:25" ht="16.5" hidden="1">
      <c r="A159" s="63"/>
      <c r="B159" s="63"/>
      <c r="C159" s="63"/>
      <c r="D159" s="63"/>
      <c r="E159" s="63"/>
      <c r="F159" s="63"/>
      <c r="G159" s="63"/>
      <c r="H159" s="114">
        <f t="shared" si="109"/>
        <v>44.131393415118986</v>
      </c>
      <c r="I159" s="63"/>
      <c r="J159" s="63" t="str">
        <f t="shared" si="125"/>
        <v>CLU058-1825C4</v>
      </c>
      <c r="K159" s="121">
        <f>HLOOKUP(Simulator!$C$6,Calculation!L$128:AF$143,15,FALSE)</f>
        <v>19859.127036803544</v>
      </c>
      <c r="L159" s="123">
        <f t="shared" si="111"/>
        <v>56</v>
      </c>
      <c r="M159" s="123">
        <f t="shared" si="112"/>
        <v>12778.93285992623</v>
      </c>
      <c r="N159" s="125">
        <f t="shared" si="120"/>
        <v>12778.932859755745</v>
      </c>
      <c r="O159" s="123">
        <f t="shared" si="113"/>
        <v>50.766927360476338</v>
      </c>
      <c r="P159" s="124">
        <f t="shared" si="121"/>
        <v>46.705573170674292</v>
      </c>
      <c r="Q159" s="124">
        <f t="shared" si="122"/>
        <v>54.828281548182865</v>
      </c>
      <c r="R159" s="125">
        <f t="shared" si="114"/>
        <v>50.766927359428578</v>
      </c>
      <c r="S159" s="126">
        <f t="shared" si="115"/>
        <v>71.073698303200018</v>
      </c>
      <c r="T159" s="126"/>
      <c r="U159" s="126">
        <f t="shared" si="123"/>
        <v>179.79833841262749</v>
      </c>
      <c r="V159" s="145">
        <f t="shared" si="132"/>
        <v>0.13</v>
      </c>
      <c r="W159" s="114">
        <f t="shared" si="124"/>
        <v>9.2395807794160021</v>
      </c>
      <c r="X159" s="126">
        <f t="shared" si="119"/>
        <v>34.239580779416002</v>
      </c>
      <c r="Y159" s="144"/>
    </row>
    <row r="160" spans="1:25" ht="16.5" hidden="1">
      <c r="A160" s="63"/>
      <c r="B160" s="63"/>
      <c r="C160" s="63"/>
      <c r="D160" s="63"/>
      <c r="E160" s="63"/>
      <c r="F160" s="63"/>
      <c r="G160" s="63"/>
      <c r="H160" s="114">
        <f t="shared" si="109"/>
        <v>42.245012941031625</v>
      </c>
      <c r="I160" s="63"/>
      <c r="J160" s="63" t="str">
        <f t="shared" si="125"/>
        <v>CLU058-3618C4</v>
      </c>
      <c r="K160" s="121">
        <f>HLOOKUP(Simulator!$C$6,Calculation!L$128:AF$143,16,FALSE)</f>
        <v>27374.768385788495</v>
      </c>
      <c r="L160" s="123">
        <f t="shared" si="111"/>
        <v>77.777777777777771</v>
      </c>
      <c r="M160" s="123">
        <f t="shared" si="112"/>
        <v>23939.6176659517</v>
      </c>
      <c r="N160" s="125">
        <f>($E$129*$E$135^3+$E$130*$E$135^2+$E$131*$E$135+$E$132)*M160</f>
        <v>23939.617665632319</v>
      </c>
      <c r="O160" s="123">
        <f t="shared" si="113"/>
        <v>103.94751787221931</v>
      </c>
      <c r="P160" s="124">
        <f t="shared" si="121"/>
        <v>95.631716440468068</v>
      </c>
      <c r="Q160" s="124">
        <f t="shared" si="122"/>
        <v>112.26331929967991</v>
      </c>
      <c r="R160" s="125">
        <f t="shared" si="114"/>
        <v>103.94751787007398</v>
      </c>
      <c r="S160" s="126">
        <f t="shared" si="115"/>
        <v>145.52652501810357</v>
      </c>
      <c r="T160" s="126"/>
      <c r="U160" s="126">
        <f t="shared" ref="U160" si="135">N160/S160</f>
        <v>164.50346534869996</v>
      </c>
      <c r="V160" s="63">
        <f t="shared" si="132"/>
        <v>9.5000000000000001E-2</v>
      </c>
      <c r="W160" s="114">
        <f t="shared" ref="W160" si="136">S160*V160</f>
        <v>13.825019876719839</v>
      </c>
      <c r="X160" s="126">
        <f t="shared" si="119"/>
        <v>38.825019876719836</v>
      </c>
      <c r="Y160" s="144"/>
    </row>
    <row r="161" spans="1:24" ht="16.5" hidden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pans="1:24" ht="16.5" hidden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114"/>
      <c r="L162" s="114"/>
      <c r="M162" s="114"/>
      <c r="N162" s="63"/>
      <c r="O162" s="123"/>
      <c r="P162" s="118" t="s">
        <v>6</v>
      </c>
      <c r="Q162" s="118" t="s">
        <v>5</v>
      </c>
      <c r="R162" s="118"/>
      <c r="S162" s="118"/>
      <c r="T162" s="118"/>
      <c r="U162" s="63"/>
      <c r="V162" s="63"/>
      <c r="W162" s="63"/>
    </row>
    <row r="163" spans="1:24" ht="16.5" hidden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114"/>
      <c r="L163" s="114"/>
      <c r="M163" s="114"/>
      <c r="N163" s="63"/>
      <c r="O163" s="123"/>
      <c r="P163" s="71"/>
      <c r="Q163" s="71">
        <f>$C$52</f>
        <v>5</v>
      </c>
      <c r="R163" s="71"/>
      <c r="S163" s="71"/>
      <c r="T163" s="71"/>
      <c r="U163" s="63"/>
      <c r="V163" s="63"/>
      <c r="W163" s="63"/>
    </row>
    <row r="164" spans="1:24" ht="16.5" hidden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114"/>
      <c r="L164" s="114"/>
      <c r="M164" s="114"/>
      <c r="N164" s="63"/>
      <c r="O164" s="123"/>
      <c r="P164" s="71"/>
      <c r="Q164" s="71"/>
      <c r="R164" s="71"/>
      <c r="S164" s="71"/>
      <c r="T164" s="71"/>
      <c r="U164" s="63"/>
      <c r="V164" s="63"/>
      <c r="W164" s="63"/>
    </row>
    <row r="165" spans="1:24" ht="16.5" hidden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114"/>
      <c r="L165" s="114"/>
      <c r="M165" s="114"/>
      <c r="N165" s="63"/>
      <c r="O165" s="123"/>
      <c r="P165" s="118" t="s">
        <v>67</v>
      </c>
      <c r="Q165" s="118" t="s">
        <v>4</v>
      </c>
      <c r="R165" s="118"/>
      <c r="S165" s="118" t="s">
        <v>5</v>
      </c>
      <c r="T165" s="71"/>
      <c r="U165" s="63"/>
      <c r="V165" s="63"/>
      <c r="W165" s="63"/>
    </row>
    <row r="166" spans="1:24" ht="16.5" hidden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114"/>
      <c r="L166" s="114"/>
      <c r="M166" s="114"/>
      <c r="N166" s="63"/>
      <c r="O166" s="123"/>
      <c r="P166" s="71"/>
      <c r="Q166" s="71">
        <f>$C$54</f>
        <v>120</v>
      </c>
      <c r="R166" s="71"/>
      <c r="S166" s="71">
        <f>$D$54</f>
        <v>-40</v>
      </c>
      <c r="T166" s="71"/>
      <c r="U166" s="63"/>
      <c r="V166" s="63"/>
      <c r="W166" s="63"/>
    </row>
    <row r="167" spans="1:24" ht="16.5" hidden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114"/>
      <c r="L167" s="114"/>
      <c r="M167" s="114"/>
      <c r="N167" s="63"/>
      <c r="O167" s="123"/>
      <c r="P167" s="71"/>
      <c r="Q167" s="71"/>
      <c r="R167" s="71"/>
      <c r="S167" s="71"/>
      <c r="T167" s="71"/>
      <c r="U167" s="63"/>
      <c r="V167" s="63"/>
      <c r="W167" s="63"/>
    </row>
    <row r="168" spans="1:24" ht="16.5" hidden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114"/>
      <c r="L168" s="114"/>
      <c r="M168" s="114"/>
      <c r="N168" s="63"/>
      <c r="O168" s="123"/>
      <c r="P168" s="118" t="s">
        <v>7</v>
      </c>
      <c r="Q168" s="118" t="s">
        <v>4</v>
      </c>
      <c r="R168" s="118"/>
      <c r="S168" s="118" t="s">
        <v>5</v>
      </c>
      <c r="T168" s="71"/>
      <c r="U168" s="63"/>
      <c r="V168" s="63"/>
      <c r="W168" s="63"/>
    </row>
    <row r="169" spans="1:24" ht="16.5" hidden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114"/>
      <c r="L169" s="114"/>
      <c r="M169" s="114"/>
      <c r="N169" s="63"/>
      <c r="O169" s="123"/>
      <c r="P169" s="71"/>
      <c r="Q169" s="71">
        <f>$C$56</f>
        <v>150</v>
      </c>
      <c r="R169" s="71"/>
      <c r="S169" s="71">
        <f>$D$56</f>
        <v>-25</v>
      </c>
      <c r="T169" s="71"/>
      <c r="U169" s="63"/>
      <c r="V169" s="63"/>
      <c r="W169" s="63"/>
    </row>
    <row r="170" spans="1:24" ht="16.5" hidden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123"/>
      <c r="P170" s="71"/>
      <c r="Q170" s="71"/>
      <c r="R170" s="71"/>
      <c r="S170" s="71"/>
      <c r="T170" s="71"/>
      <c r="U170" s="63"/>
      <c r="V170" s="63"/>
      <c r="W170" s="63"/>
    </row>
    <row r="171" spans="1:24" ht="16.5" hidden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114"/>
      <c r="M171" s="85"/>
      <c r="N171" s="63"/>
      <c r="O171" s="123"/>
      <c r="P171" s="71"/>
      <c r="Q171" s="71" t="s">
        <v>67</v>
      </c>
      <c r="R171" s="71" t="s">
        <v>6</v>
      </c>
      <c r="S171" s="71"/>
      <c r="T171" s="71"/>
      <c r="U171" s="71"/>
      <c r="V171" s="71" t="s">
        <v>7</v>
      </c>
      <c r="W171" s="71" t="s">
        <v>59</v>
      </c>
      <c r="X171" s="66" t="s">
        <v>126</v>
      </c>
    </row>
    <row r="172" spans="1:24" ht="16.5" hidden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 t="s">
        <v>38</v>
      </c>
      <c r="M172" s="85"/>
      <c r="N172" s="114" t="s">
        <v>40</v>
      </c>
      <c r="O172" s="123"/>
      <c r="P172" s="71"/>
      <c r="Q172" s="71" t="s">
        <v>3</v>
      </c>
      <c r="R172" s="71" t="s">
        <v>39</v>
      </c>
      <c r="S172" s="71"/>
      <c r="T172" s="71" t="s">
        <v>40</v>
      </c>
      <c r="U172" s="71" t="s">
        <v>60</v>
      </c>
      <c r="V172" s="71" t="s">
        <v>3</v>
      </c>
      <c r="W172" s="71" t="s">
        <v>61</v>
      </c>
      <c r="X172" s="66" t="s">
        <v>127</v>
      </c>
    </row>
    <row r="173" spans="1:24" ht="16.5" hidden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114">
        <f t="shared" ref="L173:L180" si="137">230*I70</f>
        <v>230</v>
      </c>
      <c r="M173" s="139">
        <f t="shared" ref="M173:M180" si="138">M113</f>
        <v>4655.8513048099167</v>
      </c>
      <c r="N173" s="140">
        <f>IF(L173&gt;=M173,M173,L173)</f>
        <v>230</v>
      </c>
      <c r="O173" s="123"/>
      <c r="P173" s="63" t="str">
        <f t="shared" ref="P173:P180" si="139">P113</f>
        <v>CLU028-1201C4</v>
      </c>
      <c r="Q173" s="71" t="b">
        <f t="shared" ref="Q173:Q186" si="140">AND(S$166&lt;=$E$135,Q$166&gt;=$E$135)</f>
        <v>1</v>
      </c>
      <c r="R173" s="63">
        <f t="shared" ref="R173:R186" si="141">Q$163</f>
        <v>5</v>
      </c>
      <c r="S173" s="63"/>
      <c r="T173" s="140">
        <f t="shared" ref="T173:T186" si="142">N173/I130</f>
        <v>230</v>
      </c>
      <c r="U173" s="71" t="b">
        <f t="shared" ref="U173:U186" si="143">AND(AND(Q173,R173&lt;=L147,T173&gt;=L147),X173)</f>
        <v>0</v>
      </c>
      <c r="V173" s="71" t="b">
        <f>AND(Q173,S$169&lt;X147,Q$169&gt;X147)</f>
        <v>0</v>
      </c>
      <c r="W173" s="71" t="b">
        <f>AND(U173,Q173,V173)</f>
        <v>0</v>
      </c>
      <c r="X173" s="66" t="b">
        <f t="shared" ref="X173:X186" si="144">IF(IFERROR(M147,FALSE),TRUE)</f>
        <v>1</v>
      </c>
    </row>
    <row r="174" spans="1:24" ht="16.5" hidden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114">
        <f t="shared" si="137"/>
        <v>460</v>
      </c>
      <c r="M174" s="139">
        <f t="shared" si="138"/>
        <v>2720.3216101327462</v>
      </c>
      <c r="N174" s="140">
        <f t="shared" ref="N174:N185" si="145">IF(L174&gt;=M174,M174,L174)</f>
        <v>460</v>
      </c>
      <c r="O174" s="123"/>
      <c r="P174" s="63" t="str">
        <f t="shared" si="139"/>
        <v>CLU028-1202C4</v>
      </c>
      <c r="Q174" s="71" t="b">
        <f t="shared" si="140"/>
        <v>1</v>
      </c>
      <c r="R174" s="63">
        <f t="shared" si="141"/>
        <v>5</v>
      </c>
      <c r="S174" s="63"/>
      <c r="T174" s="140">
        <f t="shared" si="142"/>
        <v>230</v>
      </c>
      <c r="U174" s="71" t="b">
        <f t="shared" si="143"/>
        <v>0</v>
      </c>
      <c r="V174" s="71" t="b">
        <f t="shared" ref="V174:V186" si="146">AND(Q174,S$169&lt;X148,Q$169&gt;X148)</f>
        <v>1</v>
      </c>
      <c r="W174" s="71" t="b">
        <f>AND(U174,Q174,V174)</f>
        <v>0</v>
      </c>
      <c r="X174" s="66" t="b">
        <f t="shared" si="144"/>
        <v>1</v>
      </c>
    </row>
    <row r="175" spans="1:24" ht="16.5" hidden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114">
        <f t="shared" si="137"/>
        <v>690</v>
      </c>
      <c r="M175" s="139">
        <f t="shared" si="138"/>
        <v>5842.2131068109557</v>
      </c>
      <c r="N175" s="140">
        <f t="shared" si="145"/>
        <v>690</v>
      </c>
      <c r="O175" s="63"/>
      <c r="P175" s="63" t="str">
        <f t="shared" si="139"/>
        <v>CLU028-1203C4</v>
      </c>
      <c r="Q175" s="71" t="b">
        <f t="shared" si="140"/>
        <v>1</v>
      </c>
      <c r="R175" s="63">
        <f t="shared" si="141"/>
        <v>5</v>
      </c>
      <c r="S175" s="63"/>
      <c r="T175" s="140">
        <f t="shared" si="142"/>
        <v>230</v>
      </c>
      <c r="U175" s="71" t="b">
        <f t="shared" si="143"/>
        <v>0</v>
      </c>
      <c r="V175" s="71" t="b">
        <f t="shared" si="146"/>
        <v>1</v>
      </c>
      <c r="W175" s="71" t="b">
        <f t="shared" ref="W175:W184" si="147">AND(U175,Q175,V175)</f>
        <v>0</v>
      </c>
      <c r="X175" s="66" t="b">
        <f t="shared" si="144"/>
        <v>1</v>
      </c>
    </row>
    <row r="176" spans="1:24" ht="16.5" hidden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114">
        <f t="shared" si="137"/>
        <v>920</v>
      </c>
      <c r="M176" s="139">
        <f t="shared" si="138"/>
        <v>3451.7591120921752</v>
      </c>
      <c r="N176" s="140">
        <f t="shared" si="145"/>
        <v>920</v>
      </c>
      <c r="O176" s="63"/>
      <c r="P176" s="63" t="str">
        <f t="shared" si="139"/>
        <v>CLU028-1204C4</v>
      </c>
      <c r="Q176" s="71" t="b">
        <f t="shared" si="140"/>
        <v>1</v>
      </c>
      <c r="R176" s="63">
        <f t="shared" si="141"/>
        <v>5</v>
      </c>
      <c r="S176" s="63"/>
      <c r="T176" s="140">
        <f t="shared" si="142"/>
        <v>230</v>
      </c>
      <c r="U176" s="71" t="b">
        <f t="shared" si="143"/>
        <v>0</v>
      </c>
      <c r="V176" s="71" t="b">
        <f t="shared" si="146"/>
        <v>1</v>
      </c>
      <c r="W176" s="71" t="b">
        <f t="shared" si="147"/>
        <v>0</v>
      </c>
      <c r="X176" s="66" t="b">
        <f t="shared" si="144"/>
        <v>1</v>
      </c>
    </row>
    <row r="177" spans="1:24" ht="16.5" hidden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114">
        <f t="shared" si="137"/>
        <v>1150</v>
      </c>
      <c r="M177" s="139">
        <f t="shared" si="138"/>
        <v>24215.081899416433</v>
      </c>
      <c r="N177" s="140">
        <f t="shared" si="145"/>
        <v>1150</v>
      </c>
      <c r="O177" s="63"/>
      <c r="P177" s="63" t="str">
        <f t="shared" si="139"/>
        <v>CLU038-1205C4</v>
      </c>
      <c r="Q177" s="71" t="b">
        <f t="shared" si="140"/>
        <v>1</v>
      </c>
      <c r="R177" s="63">
        <f t="shared" si="141"/>
        <v>5</v>
      </c>
      <c r="S177" s="63"/>
      <c r="T177" s="140">
        <f t="shared" si="142"/>
        <v>230</v>
      </c>
      <c r="U177" s="71" t="b">
        <f t="shared" si="143"/>
        <v>0</v>
      </c>
      <c r="V177" s="71" t="b">
        <f t="shared" si="146"/>
        <v>1</v>
      </c>
      <c r="W177" s="71" t="b">
        <f t="shared" si="147"/>
        <v>0</v>
      </c>
      <c r="X177" s="66" t="b">
        <f t="shared" si="144"/>
        <v>1</v>
      </c>
    </row>
    <row r="178" spans="1:24" ht="16.5" hidden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114">
        <f t="shared" si="137"/>
        <v>1380</v>
      </c>
      <c r="M178" s="139">
        <f t="shared" si="138"/>
        <v>11272.392193730191</v>
      </c>
      <c r="N178" s="140">
        <f t="shared" si="145"/>
        <v>1380</v>
      </c>
      <c r="O178" s="63"/>
      <c r="P178" s="63" t="str">
        <f t="shared" si="139"/>
        <v>CLU038-1206C4</v>
      </c>
      <c r="Q178" s="71" t="b">
        <f t="shared" si="140"/>
        <v>1</v>
      </c>
      <c r="R178" s="63">
        <f t="shared" si="141"/>
        <v>5</v>
      </c>
      <c r="S178" s="63"/>
      <c r="T178" s="140">
        <f t="shared" si="142"/>
        <v>230</v>
      </c>
      <c r="U178" s="71" t="b">
        <f t="shared" si="143"/>
        <v>0</v>
      </c>
      <c r="V178" s="71" t="b">
        <f t="shared" si="146"/>
        <v>1</v>
      </c>
      <c r="W178" s="71" t="b">
        <f t="shared" si="147"/>
        <v>0</v>
      </c>
      <c r="X178" s="66" t="b">
        <f t="shared" si="144"/>
        <v>1</v>
      </c>
    </row>
    <row r="179" spans="1:24" ht="16.5" hidden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114">
        <f t="shared" si="137"/>
        <v>1840</v>
      </c>
      <c r="M179" s="139">
        <f t="shared" si="138"/>
        <v>6757.5792735200203</v>
      </c>
      <c r="N179" s="140">
        <f t="shared" si="145"/>
        <v>1840</v>
      </c>
      <c r="O179" s="63"/>
      <c r="P179" s="63" t="str">
        <f t="shared" si="139"/>
        <v>CLU038-1208C4</v>
      </c>
      <c r="Q179" s="71" t="b">
        <f t="shared" si="140"/>
        <v>1</v>
      </c>
      <c r="R179" s="63">
        <f t="shared" si="141"/>
        <v>5</v>
      </c>
      <c r="S179" s="63"/>
      <c r="T179" s="140">
        <f t="shared" si="142"/>
        <v>230</v>
      </c>
      <c r="U179" s="71" t="b">
        <f t="shared" si="143"/>
        <v>1</v>
      </c>
      <c r="V179" s="71" t="b">
        <f t="shared" si="146"/>
        <v>1</v>
      </c>
      <c r="W179" s="71" t="b">
        <f t="shared" si="147"/>
        <v>1</v>
      </c>
      <c r="X179" s="66" t="b">
        <f t="shared" si="144"/>
        <v>1</v>
      </c>
    </row>
    <row r="180" spans="1:24" ht="16.5" hidden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114">
        <f t="shared" si="137"/>
        <v>2300</v>
      </c>
      <c r="M180" s="139">
        <f t="shared" si="138"/>
        <v>5448.2911540524692</v>
      </c>
      <c r="N180" s="140">
        <f t="shared" si="145"/>
        <v>2300</v>
      </c>
      <c r="O180" s="63"/>
      <c r="P180" s="63" t="str">
        <f t="shared" si="139"/>
        <v>CLU038-1210C4</v>
      </c>
      <c r="Q180" s="71" t="b">
        <f t="shared" si="140"/>
        <v>1</v>
      </c>
      <c r="R180" s="63">
        <f t="shared" si="141"/>
        <v>5</v>
      </c>
      <c r="S180" s="63"/>
      <c r="T180" s="140">
        <f t="shared" si="142"/>
        <v>230</v>
      </c>
      <c r="U180" s="71" t="b">
        <f t="shared" si="143"/>
        <v>1</v>
      </c>
      <c r="V180" s="71" t="b">
        <f t="shared" si="146"/>
        <v>1</v>
      </c>
      <c r="W180" s="71" t="b">
        <f t="shared" si="147"/>
        <v>1</v>
      </c>
      <c r="X180" s="66" t="b">
        <f t="shared" si="144"/>
        <v>1</v>
      </c>
    </row>
    <row r="181" spans="1:24" ht="16.5" hidden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114">
        <f t="shared" ref="L181:L186" si="148">230*I78</f>
        <v>2530</v>
      </c>
      <c r="M181" s="139">
        <f t="shared" ref="M181:M186" si="149">M121</f>
        <v>48314.287457854021</v>
      </c>
      <c r="N181" s="140">
        <f t="shared" ref="N181" si="150">IF(L181&gt;=M181,M181,L181)</f>
        <v>2530</v>
      </c>
      <c r="O181" s="63"/>
      <c r="P181" s="63" t="str">
        <f t="shared" ref="P181:P186" si="151">P121</f>
        <v>CLU048-1211C4</v>
      </c>
      <c r="Q181" s="71" t="b">
        <f t="shared" si="140"/>
        <v>1</v>
      </c>
      <c r="R181" s="63">
        <f t="shared" ref="R181" si="152">Q$163</f>
        <v>5</v>
      </c>
      <c r="S181" s="63"/>
      <c r="T181" s="140">
        <f t="shared" si="142"/>
        <v>230</v>
      </c>
      <c r="U181" s="71" t="b">
        <f t="shared" si="143"/>
        <v>1</v>
      </c>
      <c r="V181" s="71" t="b">
        <f t="shared" si="146"/>
        <v>1</v>
      </c>
      <c r="W181" s="71" t="b">
        <f t="shared" ref="W181" si="153">AND(U181,Q181,V181)</f>
        <v>1</v>
      </c>
      <c r="X181" s="66" t="b">
        <f t="shared" si="144"/>
        <v>1</v>
      </c>
    </row>
    <row r="182" spans="1:24" ht="16.5" hidden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114">
        <f t="shared" si="148"/>
        <v>2760</v>
      </c>
      <c r="M182" s="139">
        <f t="shared" si="149"/>
        <v>31772.140283138899</v>
      </c>
      <c r="N182" s="140">
        <f t="shared" si="145"/>
        <v>2760</v>
      </c>
      <c r="O182" s="63"/>
      <c r="P182" s="63" t="str">
        <f t="shared" si="151"/>
        <v>CLU048-1212C4</v>
      </c>
      <c r="Q182" s="71" t="b">
        <f t="shared" si="140"/>
        <v>1</v>
      </c>
      <c r="R182" s="63">
        <f t="shared" si="141"/>
        <v>5</v>
      </c>
      <c r="S182" s="63"/>
      <c r="T182" s="140">
        <f t="shared" si="142"/>
        <v>230</v>
      </c>
      <c r="U182" s="71" t="b">
        <f t="shared" si="143"/>
        <v>1</v>
      </c>
      <c r="V182" s="71" t="b">
        <f t="shared" si="146"/>
        <v>1</v>
      </c>
      <c r="W182" s="71" t="b">
        <f t="shared" si="147"/>
        <v>1</v>
      </c>
      <c r="X182" s="66" t="b">
        <f t="shared" si="144"/>
        <v>1</v>
      </c>
    </row>
    <row r="183" spans="1:24" ht="16.5" hidden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114">
        <f t="shared" si="148"/>
        <v>2760</v>
      </c>
      <c r="M183" s="139">
        <f t="shared" si="149"/>
        <v>9391.3605671439636</v>
      </c>
      <c r="N183" s="140">
        <f t="shared" si="145"/>
        <v>2760</v>
      </c>
      <c r="O183" s="63"/>
      <c r="P183" s="63" t="str">
        <f t="shared" si="151"/>
        <v>CLU048-1812C4</v>
      </c>
      <c r="Q183" s="71" t="b">
        <f t="shared" si="140"/>
        <v>1</v>
      </c>
      <c r="R183" s="63">
        <f t="shared" si="141"/>
        <v>5</v>
      </c>
      <c r="S183" s="63"/>
      <c r="T183" s="140">
        <f t="shared" si="142"/>
        <v>230</v>
      </c>
      <c r="U183" s="71" t="b">
        <f t="shared" si="143"/>
        <v>1</v>
      </c>
      <c r="V183" s="71" t="b">
        <f t="shared" si="146"/>
        <v>1</v>
      </c>
      <c r="W183" s="71" t="b">
        <f t="shared" si="147"/>
        <v>1</v>
      </c>
      <c r="X183" s="66" t="b">
        <f t="shared" si="144"/>
        <v>1</v>
      </c>
    </row>
    <row r="184" spans="1:24" ht="16.5" hidden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114">
        <f t="shared" si="148"/>
        <v>4140</v>
      </c>
      <c r="M184" s="139">
        <f t="shared" si="149"/>
        <v>6849.5985137858524</v>
      </c>
      <c r="N184" s="140">
        <f t="shared" si="145"/>
        <v>4140</v>
      </c>
      <c r="O184" s="63"/>
      <c r="P184" s="63" t="str">
        <f t="shared" si="151"/>
        <v>CLU048-1818C4</v>
      </c>
      <c r="Q184" s="71" t="b">
        <f t="shared" si="140"/>
        <v>1</v>
      </c>
      <c r="R184" s="63">
        <f t="shared" si="141"/>
        <v>5</v>
      </c>
      <c r="S184" s="63"/>
      <c r="T184" s="140">
        <f t="shared" si="142"/>
        <v>230</v>
      </c>
      <c r="U184" s="71" t="b">
        <f t="shared" si="143"/>
        <v>1</v>
      </c>
      <c r="V184" s="71" t="b">
        <f t="shared" si="146"/>
        <v>1</v>
      </c>
      <c r="W184" s="71" t="b">
        <f t="shared" si="147"/>
        <v>1</v>
      </c>
      <c r="X184" s="66" t="b">
        <f t="shared" si="144"/>
        <v>1</v>
      </c>
    </row>
    <row r="185" spans="1:24" ht="16.5" hidden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114">
        <f t="shared" si="148"/>
        <v>5750</v>
      </c>
      <c r="M185" s="139">
        <f t="shared" si="149"/>
        <v>15320.33116823186</v>
      </c>
      <c r="N185" s="140">
        <f t="shared" si="145"/>
        <v>5750</v>
      </c>
      <c r="O185" s="63"/>
      <c r="P185" s="63" t="str">
        <f t="shared" si="151"/>
        <v>CLU058-1825C4</v>
      </c>
      <c r="Q185" s="71" t="b">
        <f t="shared" si="140"/>
        <v>1</v>
      </c>
      <c r="R185" s="63">
        <f>Q$163</f>
        <v>5</v>
      </c>
      <c r="S185" s="63"/>
      <c r="T185" s="140">
        <f t="shared" si="142"/>
        <v>230</v>
      </c>
      <c r="U185" s="71" t="b">
        <f t="shared" si="143"/>
        <v>1</v>
      </c>
      <c r="V185" s="71" t="b">
        <f t="shared" si="146"/>
        <v>1</v>
      </c>
      <c r="W185" s="71" t="b">
        <f>AND(U185,Q185,V185)</f>
        <v>1</v>
      </c>
      <c r="X185" s="66" t="b">
        <f t="shared" si="144"/>
        <v>1</v>
      </c>
    </row>
    <row r="186" spans="1:24" ht="16.5" hidden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114">
        <f t="shared" si="148"/>
        <v>4140</v>
      </c>
      <c r="M186" s="139">
        <f t="shared" si="149"/>
        <v>6048.9838923392363</v>
      </c>
      <c r="N186" s="140">
        <f t="shared" ref="N186" si="154">IF(L186&gt;=M186,M186,L186)</f>
        <v>4140</v>
      </c>
      <c r="O186" s="63"/>
      <c r="P186" s="63" t="str">
        <f t="shared" si="151"/>
        <v>CLU058-3618C4</v>
      </c>
      <c r="Q186" s="71" t="b">
        <f t="shared" si="140"/>
        <v>1</v>
      </c>
      <c r="R186" s="63">
        <f t="shared" si="141"/>
        <v>5</v>
      </c>
      <c r="S186" s="63"/>
      <c r="T186" s="140">
        <f t="shared" si="142"/>
        <v>230</v>
      </c>
      <c r="U186" s="71" t="b">
        <f t="shared" si="143"/>
        <v>1</v>
      </c>
      <c r="V186" s="71" t="b">
        <f t="shared" si="146"/>
        <v>1</v>
      </c>
      <c r="W186" s="71" t="b">
        <f>AND(U186,Q186,V186)</f>
        <v>1</v>
      </c>
      <c r="X186" s="66" t="b">
        <f t="shared" si="144"/>
        <v>1</v>
      </c>
    </row>
    <row r="187" spans="1:24" ht="23.25" hidden="1" customHeight="1"/>
    <row r="188" spans="1:24" ht="23.25" hidden="1" customHeight="1"/>
    <row r="189" spans="1:24" ht="23.25" hidden="1" customHeight="1"/>
    <row r="190" spans="1:24" ht="23.25" hidden="1" customHeight="1"/>
  </sheetData>
  <sheetProtection selectLockedCells="1" selectUnlockedCells="1"/>
  <mergeCells count="1">
    <mergeCell ref="A59:B59"/>
  </mergeCells>
  <phoneticPr fontId="4"/>
  <conditionalFormatting sqref="C36:P48">
    <cfRule type="cellIs" dxfId="1" priority="6" stopIfTrue="1" operator="equal">
      <formula>"Not Applicable"</formula>
    </cfRule>
  </conditionalFormatting>
  <conditionalFormatting sqref="C35:P35">
    <cfRule type="cellIs" dxfId="0" priority="3" stopIfTrue="1" operator="equal">
      <formula>"Not Applicable"</formula>
    </cfRule>
  </conditionalFormatting>
  <pageMargins left="0.19685039370078741" right="0.19685039370078741" top="0.19685039370078741" bottom="0.19685039370078741" header="0.51181102362204722" footer="0.51181102362204722"/>
  <pageSetup paperSize="9" scale="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M25" zoomScale="90" zoomScaleNormal="90" workbookViewId="0">
      <selection activeCell="P39" sqref="P39"/>
    </sheetView>
  </sheetViews>
  <sheetFormatPr defaultRowHeight="15"/>
  <cols>
    <col min="1" max="8" width="9.125" style="45" hidden="1" customWidth="1"/>
    <col min="9" max="9" width="0" style="45" hidden="1" customWidth="1"/>
    <col min="10" max="10" width="9.125" style="45" hidden="1" customWidth="1"/>
    <col min="11" max="12" width="0" style="45" hidden="1" customWidth="1"/>
    <col min="13" max="16384" width="9" style="45"/>
  </cols>
  <sheetData>
    <row r="1" spans="1:10" hidden="1">
      <c r="A1" s="44" t="s">
        <v>158</v>
      </c>
      <c r="B1" s="44" t="s">
        <v>159</v>
      </c>
    </row>
    <row r="2" spans="1:10" hidden="1">
      <c r="A2" s="46">
        <v>2.7366883102613162E-6</v>
      </c>
      <c r="B2" s="46">
        <v>-1.115215453639155E-8</v>
      </c>
      <c r="D2" s="147"/>
    </row>
    <row r="3" spans="1:10" hidden="1">
      <c r="A3" s="46">
        <v>-9.4613757242850683E-4</v>
      </c>
      <c r="B3" s="46">
        <v>-4.1294483136519757E-6</v>
      </c>
      <c r="D3" s="147"/>
    </row>
    <row r="4" spans="1:10" hidden="1">
      <c r="A4" s="46">
        <v>1.0219430090961608</v>
      </c>
      <c r="B4" s="46">
        <v>-1.3906686657642209E-3</v>
      </c>
      <c r="D4" s="147"/>
    </row>
    <row r="5" spans="1:10" hidden="1">
      <c r="A5" s="47"/>
      <c r="B5" s="48">
        <v>1.0375218742414281</v>
      </c>
      <c r="D5" s="147"/>
    </row>
    <row r="6" spans="1:10" hidden="1">
      <c r="D6" s="45">
        <v>90</v>
      </c>
    </row>
    <row r="7" spans="1:10" hidden="1">
      <c r="A7" s="49" t="s">
        <v>160</v>
      </c>
      <c r="B7" s="49" t="s">
        <v>161</v>
      </c>
      <c r="C7" s="49" t="s">
        <v>162</v>
      </c>
      <c r="D7" s="49" t="s">
        <v>163</v>
      </c>
      <c r="E7" s="49" t="s">
        <v>164</v>
      </c>
      <c r="F7" s="49" t="s">
        <v>165</v>
      </c>
      <c r="G7" s="49" t="s">
        <v>166</v>
      </c>
      <c r="H7" s="45" t="s">
        <v>167</v>
      </c>
      <c r="J7" s="45" t="s">
        <v>168</v>
      </c>
    </row>
    <row r="8" spans="1:10" hidden="1">
      <c r="A8" s="45">
        <v>12</v>
      </c>
      <c r="B8" s="45">
        <v>1</v>
      </c>
      <c r="C8" s="148">
        <v>85</v>
      </c>
      <c r="D8" s="45">
        <f>$D$6*B8</f>
        <v>90</v>
      </c>
      <c r="E8" s="50">
        <v>34</v>
      </c>
      <c r="F8" s="45">
        <v>2.6</v>
      </c>
      <c r="G8" s="50">
        <f>C8-(D8*E8/1000*F8)</f>
        <v>77.043999999999997</v>
      </c>
      <c r="H8" s="51">
        <f>$A$2*G8^2+$A$3*G8+$A$4</f>
        <v>0.96529316005573718</v>
      </c>
      <c r="I8" s="53">
        <f>E8/H8</f>
        <v>35.22246029179032</v>
      </c>
      <c r="J8" s="51">
        <f t="shared" ref="J8:J21" si="0">$B$2*G8^3+$B$3*G8^2+$B$4*G8+$B$5</f>
        <v>0.90076764982452673</v>
      </c>
    </row>
    <row r="9" spans="1:10" hidden="1">
      <c r="A9" s="45">
        <v>12</v>
      </c>
      <c r="B9" s="45">
        <v>2</v>
      </c>
      <c r="C9" s="148">
        <v>85</v>
      </c>
      <c r="D9" s="45">
        <f>$D$6*B9</f>
        <v>180</v>
      </c>
      <c r="E9" s="50">
        <v>34</v>
      </c>
      <c r="F9" s="45">
        <v>1.5</v>
      </c>
      <c r="G9" s="50">
        <f t="shared" ref="G9:G21" si="1">C9-(D9*E9/1000*F9)</f>
        <v>75.819999999999993</v>
      </c>
      <c r="H9" s="51">
        <f>$A$2*G9^2+$A$3*G9+$A$4</f>
        <v>0.96593918291123326</v>
      </c>
      <c r="I9" s="53">
        <f t="shared" ref="I9:I21" si="2">E9/H9</f>
        <v>35.19890341080044</v>
      </c>
      <c r="J9" s="51">
        <f t="shared" si="0"/>
        <v>0.90348170396342875</v>
      </c>
    </row>
    <row r="10" spans="1:10" hidden="1">
      <c r="A10" s="45">
        <v>12</v>
      </c>
      <c r="B10" s="45">
        <v>3</v>
      </c>
      <c r="C10" s="148">
        <v>85</v>
      </c>
      <c r="D10" s="45">
        <f t="shared" ref="D10:D21" si="3">$D$6*B10</f>
        <v>270</v>
      </c>
      <c r="E10" s="50">
        <v>34</v>
      </c>
      <c r="F10" s="50">
        <v>1</v>
      </c>
      <c r="G10" s="50">
        <f t="shared" si="1"/>
        <v>75.819999999999993</v>
      </c>
      <c r="H10" s="51">
        <f t="shared" ref="H10:H21" si="4">$A$2*G10^2+$A$3*G10+$A$4</f>
        <v>0.96593918291123326</v>
      </c>
      <c r="I10" s="53">
        <f t="shared" si="2"/>
        <v>35.19890341080044</v>
      </c>
      <c r="J10" s="51">
        <f t="shared" si="0"/>
        <v>0.90348170396342875</v>
      </c>
    </row>
    <row r="11" spans="1:10" hidden="1">
      <c r="A11" s="45">
        <v>12</v>
      </c>
      <c r="B11" s="45">
        <v>4</v>
      </c>
      <c r="C11" s="148">
        <v>85</v>
      </c>
      <c r="D11" s="45">
        <f t="shared" si="3"/>
        <v>360</v>
      </c>
      <c r="E11" s="50">
        <v>34</v>
      </c>
      <c r="F11" s="45">
        <v>0.86</v>
      </c>
      <c r="G11" s="50">
        <f t="shared" si="1"/>
        <v>74.473600000000005</v>
      </c>
      <c r="H11" s="51">
        <f t="shared" si="4"/>
        <v>0.96665927914640204</v>
      </c>
      <c r="I11" s="53">
        <f t="shared" si="2"/>
        <v>35.17268259197111</v>
      </c>
      <c r="J11" s="51">
        <f t="shared" si="0"/>
        <v>0.90644409823082495</v>
      </c>
    </row>
    <row r="12" spans="1:10" hidden="1">
      <c r="A12" s="45">
        <v>12</v>
      </c>
      <c r="B12" s="45">
        <v>5</v>
      </c>
      <c r="C12" s="148">
        <v>85</v>
      </c>
      <c r="D12" s="45">
        <f t="shared" si="3"/>
        <v>450</v>
      </c>
      <c r="E12" s="50">
        <v>34</v>
      </c>
      <c r="F12" s="45">
        <v>0.68</v>
      </c>
      <c r="G12" s="50">
        <f t="shared" si="1"/>
        <v>74.596000000000004</v>
      </c>
      <c r="H12" s="51">
        <f t="shared" si="4"/>
        <v>0.96659340584822118</v>
      </c>
      <c r="I12" s="53">
        <f t="shared" si="2"/>
        <v>35.175079608745882</v>
      </c>
      <c r="J12" s="51">
        <f t="shared" si="0"/>
        <v>0.90617578406817345</v>
      </c>
    </row>
    <row r="13" spans="1:10" hidden="1">
      <c r="A13" s="45">
        <v>12</v>
      </c>
      <c r="B13" s="45">
        <v>6</v>
      </c>
      <c r="C13" s="148">
        <v>85</v>
      </c>
      <c r="D13" s="45">
        <f t="shared" si="3"/>
        <v>540</v>
      </c>
      <c r="E13" s="50">
        <v>34</v>
      </c>
      <c r="F13" s="45">
        <v>0.61</v>
      </c>
      <c r="G13" s="50">
        <f t="shared" si="1"/>
        <v>73.800399999999996</v>
      </c>
      <c r="H13" s="51">
        <f t="shared" si="4"/>
        <v>0.9670230480509634</v>
      </c>
      <c r="I13" s="53">
        <f t="shared" si="2"/>
        <v>35.159451544125091</v>
      </c>
      <c r="J13" s="51">
        <f t="shared" si="0"/>
        <v>0.90791628318319773</v>
      </c>
    </row>
    <row r="14" spans="1:10" hidden="1">
      <c r="A14" s="45">
        <v>12</v>
      </c>
      <c r="B14" s="45">
        <v>8</v>
      </c>
      <c r="C14" s="148">
        <v>85</v>
      </c>
      <c r="D14" s="45">
        <f t="shared" si="3"/>
        <v>720</v>
      </c>
      <c r="E14" s="50">
        <v>34</v>
      </c>
      <c r="F14" s="45">
        <v>0.48</v>
      </c>
      <c r="G14" s="50">
        <f t="shared" si="1"/>
        <v>73.249600000000001</v>
      </c>
      <c r="H14" s="51">
        <f t="shared" si="4"/>
        <v>0.96732252217303094</v>
      </c>
      <c r="I14" s="53">
        <f t="shared" si="2"/>
        <v>35.148566502536383</v>
      </c>
      <c r="J14" s="51">
        <f t="shared" si="0"/>
        <v>0.9091163486196685</v>
      </c>
    </row>
    <row r="15" spans="1:10" hidden="1">
      <c r="A15" s="45">
        <v>12</v>
      </c>
      <c r="B15" s="45">
        <v>10</v>
      </c>
      <c r="C15" s="148">
        <v>85</v>
      </c>
      <c r="D15" s="45">
        <f t="shared" si="3"/>
        <v>900</v>
      </c>
      <c r="E15" s="50">
        <v>34</v>
      </c>
      <c r="F15" s="52">
        <v>0.4</v>
      </c>
      <c r="G15" s="50">
        <f t="shared" si="1"/>
        <v>72.759999999999991</v>
      </c>
      <c r="H15" s="51">
        <f>$A$2*G15^2+$A$3*G15+$A$4</f>
        <v>0.96759011540650031</v>
      </c>
      <c r="I15" s="53">
        <f t="shared" si="2"/>
        <v>35.138845941719907</v>
      </c>
      <c r="J15" s="51">
        <f t="shared" si="0"/>
        <v>0.91017972132350278</v>
      </c>
    </row>
    <row r="16" spans="1:10" hidden="1">
      <c r="A16" s="45">
        <v>12</v>
      </c>
      <c r="B16" s="45">
        <v>11</v>
      </c>
      <c r="C16" s="148">
        <v>85</v>
      </c>
      <c r="D16" s="45">
        <f t="shared" si="3"/>
        <v>990</v>
      </c>
      <c r="E16" s="50">
        <v>34</v>
      </c>
      <c r="F16" s="45">
        <v>0.36</v>
      </c>
      <c r="G16" s="50">
        <f t="shared" si="1"/>
        <v>72.882400000000004</v>
      </c>
      <c r="H16" s="51">
        <f t="shared" si="4"/>
        <v>0.96752309409691062</v>
      </c>
      <c r="I16" s="53">
        <f t="shared" si="2"/>
        <v>35.141280045346839</v>
      </c>
      <c r="J16" s="51">
        <f t="shared" si="0"/>
        <v>0.90991417346346049</v>
      </c>
    </row>
    <row r="17" spans="1:10" hidden="1">
      <c r="A17" s="45">
        <v>12</v>
      </c>
      <c r="B17" s="45">
        <v>12</v>
      </c>
      <c r="C17" s="148">
        <v>85</v>
      </c>
      <c r="D17" s="45">
        <f t="shared" si="3"/>
        <v>1080</v>
      </c>
      <c r="E17" s="50">
        <v>34</v>
      </c>
      <c r="F17" s="45">
        <v>0.32</v>
      </c>
      <c r="G17" s="50">
        <f t="shared" si="1"/>
        <v>73.249600000000001</v>
      </c>
      <c r="H17" s="51">
        <f t="shared" si="4"/>
        <v>0.96732252217303094</v>
      </c>
      <c r="I17" s="53">
        <f t="shared" si="2"/>
        <v>35.148566502536383</v>
      </c>
      <c r="J17" s="51">
        <f t="shared" si="0"/>
        <v>0.9091163486196685</v>
      </c>
    </row>
    <row r="18" spans="1:10" hidden="1">
      <c r="A18" s="45">
        <v>18</v>
      </c>
      <c r="B18" s="45">
        <v>12</v>
      </c>
      <c r="C18" s="148">
        <v>85</v>
      </c>
      <c r="D18" s="45">
        <f t="shared" si="3"/>
        <v>1080</v>
      </c>
      <c r="E18" s="50">
        <v>51.1</v>
      </c>
      <c r="F18" s="45">
        <v>0.24</v>
      </c>
      <c r="G18" s="50">
        <f t="shared" si="1"/>
        <v>71.75488</v>
      </c>
      <c r="H18" s="51">
        <f t="shared" si="4"/>
        <v>0.96814358010056911</v>
      </c>
      <c r="I18" s="53">
        <f t="shared" si="2"/>
        <v>52.781427311320726</v>
      </c>
      <c r="J18" s="51">
        <f t="shared" si="0"/>
        <v>0.91235291038407507</v>
      </c>
    </row>
    <row r="19" spans="1:10" hidden="1">
      <c r="A19" s="45">
        <v>18</v>
      </c>
      <c r="B19" s="45">
        <v>18</v>
      </c>
      <c r="C19" s="148">
        <v>85</v>
      </c>
      <c r="D19" s="45">
        <f t="shared" si="3"/>
        <v>1620</v>
      </c>
      <c r="E19" s="50">
        <v>51.1</v>
      </c>
      <c r="F19" s="45">
        <v>0.16</v>
      </c>
      <c r="G19" s="50">
        <f t="shared" si="1"/>
        <v>71.75488</v>
      </c>
      <c r="H19" s="51">
        <f t="shared" si="4"/>
        <v>0.96814358010056911</v>
      </c>
      <c r="I19" s="53">
        <f t="shared" si="2"/>
        <v>52.781427311320726</v>
      </c>
      <c r="J19" s="51">
        <f t="shared" si="0"/>
        <v>0.91235291038407507</v>
      </c>
    </row>
    <row r="20" spans="1:10" hidden="1">
      <c r="A20" s="45">
        <v>18</v>
      </c>
      <c r="B20" s="45">
        <v>25</v>
      </c>
      <c r="C20" s="148">
        <v>85</v>
      </c>
      <c r="D20" s="45">
        <f t="shared" si="3"/>
        <v>2250</v>
      </c>
      <c r="E20" s="50">
        <v>51.1</v>
      </c>
      <c r="F20" s="45">
        <v>0.13</v>
      </c>
      <c r="G20" s="50">
        <f t="shared" si="1"/>
        <v>70.053250000000006</v>
      </c>
      <c r="H20" s="51">
        <f t="shared" si="4"/>
        <v>0.96909317969211761</v>
      </c>
      <c r="I20" s="53">
        <f t="shared" si="2"/>
        <v>52.729707597606406</v>
      </c>
      <c r="J20" s="51">
        <f t="shared" si="0"/>
        <v>0.91600199577191288</v>
      </c>
    </row>
    <row r="21" spans="1:10" hidden="1">
      <c r="A21" s="45">
        <v>36</v>
      </c>
      <c r="B21" s="45">
        <v>18</v>
      </c>
      <c r="C21" s="148">
        <v>85</v>
      </c>
      <c r="D21" s="45">
        <f t="shared" si="3"/>
        <v>1620</v>
      </c>
      <c r="E21" s="50">
        <v>102.1</v>
      </c>
      <c r="F21" s="45">
        <v>9.5000000000000001E-2</v>
      </c>
      <c r="G21" s="50">
        <f t="shared" si="1"/>
        <v>69.286810000000003</v>
      </c>
      <c r="H21" s="51">
        <f t="shared" si="4"/>
        <v>0.96952607056776341</v>
      </c>
      <c r="I21" s="53">
        <f t="shared" si="2"/>
        <v>105.30918466195477</v>
      </c>
      <c r="J21" s="51">
        <f t="shared" si="0"/>
        <v>0.91763333468205532</v>
      </c>
    </row>
    <row r="22" spans="1:10" hidden="1"/>
    <row r="23" spans="1:10" hidden="1"/>
    <row r="24" spans="1:10" hidden="1"/>
  </sheetData>
  <sheetProtection password="C071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Simulator</vt:lpstr>
      <vt:lpstr>Calculation</vt:lpstr>
      <vt:lpstr>Tcスペック算出</vt:lpstr>
      <vt:lpstr>Calculation!Print_Area</vt:lpstr>
      <vt:lpstr>Simulator!Print_Area</vt:lpstr>
    </vt:vector>
  </TitlesOfParts>
  <Company>CITIZEN ELECTRONICS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CITILED Lighting LED Selection Simulator</dc:title>
  <dc:creator>貴家 健次</dc:creator>
  <cp:lastModifiedBy>Windows User</cp:lastModifiedBy>
  <cp:lastPrinted>2014-05-01T10:43:19Z</cp:lastPrinted>
  <dcterms:created xsi:type="dcterms:W3CDTF">2011-08-25T00:09:33Z</dcterms:created>
  <dcterms:modified xsi:type="dcterms:W3CDTF">2020-07-18T06:33:41Z</dcterms:modified>
</cp:coreProperties>
</file>